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SZC 2022\Könyvelés\Tandíjszámítás_2022_2023\"/>
    </mc:Choice>
  </mc:AlternateContent>
  <bookViews>
    <workbookView xWindow="0" yWindow="0" windowWidth="28800" windowHeight="12435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L96" i="1" l="1"/>
  <c r="K96" i="1"/>
  <c r="J96" i="1"/>
  <c r="I96" i="1"/>
  <c r="H96" i="1"/>
  <c r="G96" i="1"/>
  <c r="F96" i="1"/>
  <c r="E96" i="1"/>
  <c r="D96" i="1"/>
  <c r="L90" i="1"/>
  <c r="K90" i="1"/>
  <c r="J90" i="1"/>
  <c r="I90" i="1"/>
  <c r="H90" i="1"/>
  <c r="G90" i="1"/>
  <c r="F90" i="1"/>
  <c r="E90" i="1"/>
  <c r="D90" i="1"/>
  <c r="L84" i="1"/>
  <c r="K84" i="1"/>
  <c r="J84" i="1"/>
  <c r="I84" i="1"/>
  <c r="H84" i="1"/>
  <c r="G84" i="1"/>
  <c r="F84" i="1"/>
  <c r="E84" i="1"/>
  <c r="D84" i="1"/>
  <c r="L57" i="1"/>
  <c r="K57" i="1"/>
  <c r="J57" i="1"/>
  <c r="I57" i="1"/>
  <c r="H57" i="1"/>
  <c r="G57" i="1"/>
  <c r="F57" i="1"/>
  <c r="D57" i="1"/>
  <c r="E57" i="1"/>
  <c r="L49" i="1"/>
  <c r="L48" i="1"/>
  <c r="L47" i="1"/>
  <c r="L46" i="1"/>
  <c r="L45" i="1"/>
  <c r="L44" i="1"/>
  <c r="K49" i="1"/>
  <c r="K48" i="1"/>
  <c r="K47" i="1"/>
  <c r="K46" i="1"/>
  <c r="K45" i="1"/>
  <c r="K44" i="1"/>
  <c r="J49" i="1"/>
  <c r="J48" i="1"/>
  <c r="J47" i="1"/>
  <c r="J46" i="1"/>
  <c r="J45" i="1"/>
  <c r="J44" i="1"/>
  <c r="I49" i="1"/>
  <c r="I48" i="1"/>
  <c r="I47" i="1"/>
  <c r="I46" i="1"/>
  <c r="I45" i="1"/>
  <c r="I44" i="1"/>
  <c r="H49" i="1"/>
  <c r="H48" i="1"/>
  <c r="H47" i="1"/>
  <c r="H46" i="1"/>
  <c r="H45" i="1"/>
  <c r="H44" i="1"/>
  <c r="G49" i="1"/>
  <c r="G48" i="1"/>
  <c r="G47" i="1"/>
  <c r="G46" i="1"/>
  <c r="G45" i="1"/>
  <c r="G44" i="1"/>
  <c r="F49" i="1"/>
  <c r="F48" i="1"/>
  <c r="F47" i="1"/>
  <c r="F46" i="1"/>
  <c r="F45" i="1"/>
  <c r="F44" i="1"/>
  <c r="E49" i="1"/>
  <c r="E48" i="1"/>
  <c r="E47" i="1"/>
  <c r="E46" i="1"/>
  <c r="E45" i="1"/>
  <c r="E44" i="1"/>
  <c r="D49" i="1"/>
  <c r="D48" i="1"/>
  <c r="D47" i="1"/>
  <c r="D46" i="1"/>
  <c r="D45" i="1"/>
  <c r="D44" i="1"/>
  <c r="L19" i="1"/>
  <c r="L18" i="1"/>
  <c r="L17" i="1"/>
  <c r="L16" i="1"/>
  <c r="L15" i="1"/>
  <c r="L14" i="1"/>
  <c r="K19" i="1"/>
  <c r="K18" i="1"/>
  <c r="K17" i="1"/>
  <c r="K16" i="1"/>
  <c r="K15" i="1"/>
  <c r="K14" i="1"/>
  <c r="J19" i="1"/>
  <c r="J18" i="1"/>
  <c r="J17" i="1"/>
  <c r="J16" i="1"/>
  <c r="J15" i="1"/>
  <c r="J14" i="1"/>
  <c r="I19" i="1"/>
  <c r="I18" i="1"/>
  <c r="I17" i="1"/>
  <c r="I16" i="1"/>
  <c r="I15" i="1"/>
  <c r="I14" i="1"/>
  <c r="H19" i="1"/>
  <c r="H18" i="1"/>
  <c r="H17" i="1"/>
  <c r="H16" i="1"/>
  <c r="H15" i="1"/>
  <c r="H14" i="1"/>
  <c r="G19" i="1"/>
  <c r="G18" i="1"/>
  <c r="G17" i="1"/>
  <c r="G16" i="1"/>
  <c r="G15" i="1"/>
  <c r="G14" i="1"/>
  <c r="F19" i="1"/>
  <c r="F18" i="1"/>
  <c r="F17" i="1"/>
  <c r="F16" i="1"/>
  <c r="F15" i="1"/>
  <c r="F14" i="1"/>
  <c r="E19" i="1"/>
  <c r="E18" i="1"/>
  <c r="E17" i="1"/>
  <c r="E16" i="1"/>
  <c r="E15" i="1"/>
  <c r="E14" i="1"/>
  <c r="D19" i="1"/>
  <c r="D18" i="1"/>
  <c r="D17" i="1"/>
  <c r="D16" i="1"/>
  <c r="D15" i="1"/>
  <c r="D14" i="1"/>
  <c r="D7" i="1"/>
  <c r="E7" i="1"/>
  <c r="F7" i="1"/>
  <c r="G7" i="1"/>
  <c r="H7" i="1"/>
  <c r="I7" i="1"/>
  <c r="J7" i="1"/>
  <c r="K7" i="1"/>
  <c r="L7" i="1"/>
  <c r="C44" i="1" l="1"/>
  <c r="C15" i="1"/>
  <c r="C14" i="1"/>
  <c r="B7" i="1"/>
  <c r="C84" i="1" l="1"/>
  <c r="C96" i="1" l="1"/>
  <c r="C90" i="1"/>
  <c r="B57" i="1"/>
  <c r="C49" i="1"/>
  <c r="C48" i="1"/>
  <c r="C47" i="1"/>
  <c r="C46" i="1"/>
  <c r="C45" i="1"/>
  <c r="L37" i="1" l="1"/>
  <c r="K37" i="1"/>
  <c r="J37" i="1"/>
  <c r="I37" i="1"/>
  <c r="H37" i="1"/>
  <c r="G37" i="1"/>
  <c r="F37" i="1"/>
  <c r="E37" i="1"/>
  <c r="D37" i="1"/>
  <c r="L31" i="1"/>
  <c r="K31" i="1"/>
  <c r="J31" i="1"/>
  <c r="I31" i="1"/>
  <c r="H31" i="1"/>
  <c r="G31" i="1"/>
  <c r="F31" i="1"/>
  <c r="E31" i="1"/>
  <c r="D31" i="1"/>
  <c r="L25" i="1"/>
  <c r="K25" i="1"/>
  <c r="J25" i="1"/>
  <c r="I25" i="1"/>
  <c r="H25" i="1"/>
  <c r="G25" i="1"/>
  <c r="F25" i="1"/>
  <c r="E25" i="1"/>
  <c r="D25" i="1"/>
  <c r="L68" i="1" l="1"/>
  <c r="K68" i="1"/>
  <c r="J68" i="1"/>
  <c r="I68" i="1"/>
  <c r="H68" i="1"/>
  <c r="G68" i="1"/>
  <c r="F68" i="1"/>
  <c r="E68" i="1"/>
  <c r="D68" i="1"/>
  <c r="C78" i="1" l="1"/>
  <c r="C77" i="1"/>
  <c r="C76" i="1"/>
  <c r="C75" i="1"/>
  <c r="C74" i="1"/>
  <c r="K76" i="1" l="1"/>
  <c r="G76" i="1"/>
  <c r="L76" i="1"/>
  <c r="J76" i="1"/>
  <c r="F76" i="1"/>
  <c r="H76" i="1"/>
  <c r="I76" i="1"/>
  <c r="E76" i="1"/>
  <c r="D76" i="1"/>
  <c r="J77" i="1"/>
  <c r="F77" i="1"/>
  <c r="I77" i="1"/>
  <c r="E77" i="1"/>
  <c r="G77" i="1"/>
  <c r="L77" i="1"/>
  <c r="H77" i="1"/>
  <c r="D77" i="1"/>
  <c r="K77" i="1"/>
  <c r="I74" i="1"/>
  <c r="E74" i="1"/>
  <c r="J74" i="1"/>
  <c r="L74" i="1"/>
  <c r="H74" i="1"/>
  <c r="D74" i="1"/>
  <c r="F74" i="1"/>
  <c r="K74" i="1"/>
  <c r="G74" i="1"/>
  <c r="I78" i="1"/>
  <c r="E78" i="1"/>
  <c r="L78" i="1"/>
  <c r="H78" i="1"/>
  <c r="D78" i="1"/>
  <c r="F78" i="1"/>
  <c r="K78" i="1"/>
  <c r="G78" i="1"/>
  <c r="J78" i="1"/>
  <c r="L75" i="1"/>
  <c r="H75" i="1"/>
  <c r="D75" i="1"/>
  <c r="K75" i="1"/>
  <c r="G75" i="1"/>
  <c r="I75" i="1"/>
  <c r="J75" i="1"/>
  <c r="F75" i="1"/>
  <c r="E75" i="1"/>
  <c r="K64" i="1"/>
  <c r="G64" i="1"/>
  <c r="E64" i="1"/>
  <c r="H64" i="1"/>
  <c r="J64" i="1"/>
  <c r="F64" i="1"/>
  <c r="I64" i="1"/>
  <c r="L64" i="1"/>
  <c r="D64" i="1"/>
  <c r="C19" i="1"/>
  <c r="C18" i="1"/>
  <c r="C17" i="1"/>
  <c r="C16" i="1"/>
</calcChain>
</file>

<file path=xl/comments1.xml><?xml version="1.0" encoding="utf-8"?>
<comments xmlns="http://schemas.openxmlformats.org/spreadsheetml/2006/main">
  <authors>
    <author>Lenovo</author>
  </authors>
  <commentList>
    <comment ref="A40" authorId="0" shapeId="0">
      <text>
        <r>
          <rPr>
            <b/>
            <sz val="9"/>
            <color indexed="81"/>
            <rFont val="Segoe UI"/>
            <family val="2"/>
            <charset val="238"/>
          </rPr>
          <t>Lenovo: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<sst xmlns="http://schemas.openxmlformats.org/spreadsheetml/2006/main" count="239" uniqueCount="64">
  <si>
    <t>Ft</t>
  </si>
  <si>
    <t>20%-a</t>
  </si>
  <si>
    <t>4,6-5</t>
  </si>
  <si>
    <t>3%-a</t>
  </si>
  <si>
    <t>4,1-4,5</t>
  </si>
  <si>
    <t>3,6-4</t>
  </si>
  <si>
    <t>10%-a</t>
  </si>
  <si>
    <t>3,1-3,5</t>
  </si>
  <si>
    <t>15%-a</t>
  </si>
  <si>
    <t>2-3</t>
  </si>
  <si>
    <t>elégtelen</t>
  </si>
  <si>
    <t>30%-a</t>
  </si>
  <si>
    <t>16%-a</t>
  </si>
  <si>
    <t>17%-a</t>
  </si>
  <si>
    <t>18%-a</t>
  </si>
  <si>
    <t>19%-a</t>
  </si>
  <si>
    <t>TANDÍJ</t>
  </si>
  <si>
    <t>Tandíj:</t>
  </si>
  <si>
    <t>50%-a</t>
  </si>
  <si>
    <t>100%-a</t>
  </si>
  <si>
    <t>4,5-5</t>
  </si>
  <si>
    <t>8%-a</t>
  </si>
  <si>
    <t>3,5-4,4</t>
  </si>
  <si>
    <t>2,5-3,4</t>
  </si>
  <si>
    <t>2,0-2,4</t>
  </si>
  <si>
    <t>5%-a</t>
  </si>
  <si>
    <t>12%-a</t>
  </si>
  <si>
    <t>Tanulmányi átlag</t>
  </si>
  <si>
    <t>A köt.legk.munkabér 3,75%-a</t>
  </si>
  <si>
    <t>A köt.legk.munkabér 15%-a</t>
  </si>
  <si>
    <t>A köt.legk.munkabér 25%-a</t>
  </si>
  <si>
    <t>100 %-a</t>
  </si>
  <si>
    <t>Díjalap 20%-a</t>
  </si>
  <si>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TÉRÍTÉSI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TANDÍJ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MÉRTÉKE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KOLLÉGIUMBAN</t>
    </r>
  </si>
  <si>
    <r>
      <rPr>
        <b/>
        <sz val="11"/>
        <rFont val="Calibri"/>
        <family val="3"/>
        <charset val="134"/>
      </rPr>
      <t>TÉRÍTÉSI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</t>
    </r>
  </si>
  <si>
    <r>
      <rPr>
        <b/>
        <sz val="11"/>
        <rFont val="Calibri"/>
        <family val="3"/>
        <charset val="134"/>
      </rPr>
      <t>KEDVEZMÉNYES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TÉRÍTÉSI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</t>
    </r>
  </si>
  <si>
    <r>
      <rPr>
        <b/>
        <sz val="11"/>
        <rFont val="Calibri"/>
        <family val="3"/>
        <charset val="134"/>
      </rPr>
      <t>4.§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nem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tanköteles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tanulónak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általános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középfokú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iskolában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 tanulmányi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követelmények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nem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teljesítése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miatt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évfolyam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második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alkalommaltörténő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megismétlésekor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R.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33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bekezdés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b)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c)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pontjában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meghatározottköznevelési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közfeladatokért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térítési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díjat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kell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fizetnie,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amelynek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mértéke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díjalap 20§-a</t>
    </r>
  </si>
  <si>
    <r>
      <rPr>
        <b/>
        <sz val="11"/>
        <rFont val="Calibri"/>
        <family val="3"/>
        <charset val="134"/>
      </rPr>
      <t>Ha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tanuló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háztartásában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1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főre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jutó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nettó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jövedelem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alábbi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értékhatárok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közé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esik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(Ft)</t>
    </r>
  </si>
  <si>
    <r>
      <rPr>
        <b/>
        <sz val="11"/>
        <rFont val="Calibri"/>
        <family val="3"/>
        <charset val="134"/>
      </rPr>
      <t>Térítési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díj:</t>
    </r>
  </si>
  <si>
    <r>
      <rPr>
        <b/>
        <sz val="11"/>
        <rFont val="Calibri"/>
        <family val="3"/>
        <charset val="134"/>
      </rPr>
      <t>6.§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a) 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1%-a</t>
    </r>
  </si>
  <si>
    <r>
      <rPr>
        <b/>
        <sz val="11"/>
        <rFont val="Calibri"/>
        <family val="3"/>
        <charset val="134"/>
      </rPr>
      <t>6.§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b) 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20%-a</t>
    </r>
  </si>
  <si>
    <r>
      <rPr>
        <b/>
        <sz val="11"/>
        <rFont val="Calibri"/>
        <family val="3"/>
        <charset val="134"/>
      </rPr>
      <t>6.§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c) 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30%-a</t>
    </r>
  </si>
  <si>
    <r>
      <rPr>
        <b/>
        <sz val="11"/>
        <rFont val="Calibri"/>
        <family val="3"/>
        <charset val="134"/>
      </rPr>
      <t>6.§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d) 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40%-a</t>
    </r>
  </si>
  <si>
    <r>
      <rPr>
        <b/>
        <sz val="11"/>
        <rFont val="Calibri"/>
        <family val="3"/>
        <charset val="134"/>
      </rPr>
      <t>6.§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e) 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50%-a</t>
    </r>
  </si>
  <si>
    <r>
      <rPr>
        <b/>
        <sz val="11"/>
        <rFont val="Calibri"/>
        <family val="3"/>
        <charset val="134"/>
      </rPr>
      <t>6.§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f) 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60%-a</t>
    </r>
  </si>
  <si>
    <r>
      <rPr>
        <b/>
        <sz val="11"/>
        <rFont val="Calibri"/>
        <family val="3"/>
        <charset val="134"/>
      </rPr>
      <t>6.§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g) 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70%-a</t>
    </r>
  </si>
  <si>
    <r>
      <rPr>
        <b/>
        <sz val="11"/>
        <rFont val="Calibri"/>
        <family val="3"/>
        <charset val="134"/>
      </rPr>
      <t>6.§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  <scheme val="minor"/>
      </rPr>
      <t>h</t>
    </r>
    <r>
      <rPr>
        <b/>
        <sz val="11"/>
        <rFont val="Calibri"/>
        <family val="3"/>
        <charset val="134"/>
      </rPr>
      <t>) 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  <scheme val="minor"/>
      </rPr>
      <t>8</t>
    </r>
    <r>
      <rPr>
        <b/>
        <sz val="11"/>
        <rFont val="Calibri"/>
        <family val="3"/>
        <charset val="134"/>
      </rPr>
      <t>0%-a</t>
    </r>
  </si>
  <si>
    <r>
      <rPr>
        <b/>
        <sz val="11"/>
        <rFont val="Calibri"/>
        <family val="3"/>
        <charset val="134"/>
      </rPr>
      <t>6.§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i) 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90%-a</t>
    </r>
  </si>
  <si>
    <r>
      <rPr>
        <b/>
        <sz val="11"/>
        <rFont val="Calibri"/>
        <family val="3"/>
        <charset val="134"/>
      </rPr>
      <t>4.§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(2)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Vendégtanulói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jogviszony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esetén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díjalap</t>
    </r>
  </si>
  <si>
    <r>
      <t>4</t>
    </r>
    <r>
      <rPr>
        <sz val="11"/>
        <rFont val="Calibri"/>
        <family val="3"/>
        <charset val="134"/>
        <scheme val="minor"/>
      </rPr>
      <t xml:space="preserve"> </t>
    </r>
    <r>
      <rPr>
        <sz val="11"/>
        <rFont val="Calibri"/>
        <family val="3"/>
        <charset val="134"/>
      </rPr>
      <t>%-a</t>
    </r>
  </si>
  <si>
    <r>
      <rPr>
        <b/>
        <sz val="11"/>
        <rFont val="Calibri"/>
        <family val="3"/>
        <charset val="134"/>
      </rPr>
      <t>4.§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(3)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független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vizsgáért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térítési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díjat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kell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fizetni,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amelynek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mértéke tantárgyanként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kötelező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legkisebb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munkabér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(minimálbér)</t>
    </r>
  </si>
  <si>
    <r>
      <rPr>
        <b/>
        <sz val="11"/>
        <rFont val="Calibri"/>
        <family val="3"/>
        <charset val="134"/>
      </rPr>
      <t>4.§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(4) bek. a)</t>
    </r>
    <r>
      <rPr>
        <b/>
        <sz val="11"/>
        <rFont val="Calibri"/>
        <family val="3"/>
        <charset val="134"/>
        <scheme val="minor"/>
      </rPr>
      <t xml:space="preserve"> A R. 33/A.§-ban meghatározott vizsgák körén túl a vizsgázónak a középszintű érettségi vizsgáért - ha a vizsgázó a jelentkezését nem egy adott középiskolában nyújtja be - az adott évre érvényes kötelező legkisebb munkabér (minimálbér) 15%-ának megfelelő ezer Ft-ra kerekített összeget kell fizetnie az Oktatási Hivatal számára</t>
    </r>
  </si>
  <si>
    <r>
      <rPr>
        <b/>
        <sz val="11"/>
        <rFont val="Calibri"/>
        <family val="3"/>
        <charset val="134"/>
      </rPr>
      <t>4.§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(4) bek b)</t>
    </r>
    <r>
      <rPr>
        <b/>
        <sz val="11"/>
        <rFont val="Calibri"/>
        <family val="3"/>
        <charset val="134"/>
        <scheme val="minor"/>
      </rPr>
      <t xml:space="preserve"> A R. 33/A.§-ban meghatározott vizsgák körén túl a vizsgázónak az emeltszintű érettségi vizsgáért az adott évre érvényes kötelező legkisebb munkabér (minimálbér) 25%-ának megfelelő ezer Ft-ra kerekített összeget kell fizetnie az Oktatási Hivatal számára</t>
    </r>
  </si>
  <si>
    <r>
      <rPr>
        <b/>
        <sz val="11"/>
        <rFont val="Calibri"/>
        <family val="3"/>
        <charset val="134"/>
      </rPr>
      <t>4.§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(6)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R.33.§-ában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meg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nem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határozott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egyéb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foglalkozásokért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térítési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díjat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kell fizetni,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amelynek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mértéke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díjalap</t>
    </r>
  </si>
  <si>
    <r>
      <rPr>
        <b/>
        <sz val="11"/>
        <rFont val="Calibri"/>
        <family val="3"/>
        <charset val="134"/>
      </rPr>
      <t>Tanulmányiátlag</t>
    </r>
  </si>
  <si>
    <r>
      <rPr>
        <b/>
        <sz val="11"/>
        <rFont val="Calibri"/>
        <family val="3"/>
        <charset val="134"/>
      </rPr>
      <t>KEDVEZMÉNYES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TANDÍJ</t>
    </r>
  </si>
  <si>
    <r>
      <rPr>
        <b/>
        <sz val="11"/>
        <rFont val="Calibri"/>
        <family val="3"/>
        <charset val="134"/>
      </rPr>
      <t>5.§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R.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36.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bekezdés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  <scheme val="minor"/>
      </rPr>
      <t>b</t>
    </r>
    <r>
      <rPr>
        <b/>
        <sz val="11"/>
        <rFont val="Calibri"/>
        <family val="3"/>
        <charset val="134"/>
      </rPr>
      <t>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pontjában meghatározott nevelési-oktatási intézményben a pedagógiai programhoz nem kapcsolódó nevelés és oktatás, valamint az ezzel összefüggő más szolgáltatás esetében</t>
    </r>
  </si>
  <si>
    <r>
      <rPr>
        <b/>
        <sz val="11"/>
        <rFont val="Calibri"/>
        <family val="3"/>
        <charset val="134"/>
      </rPr>
      <t>5.§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(2)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R.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36.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bekezdés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c)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pontja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alapján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középfokú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iskolában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tanulmányi követelmények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nem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teljesítése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miatt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évfolyam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harmadik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további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alkalommaltörténő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megismétlése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esetén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tandíj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mértéke</t>
    </r>
  </si>
  <si>
    <r>
      <t>a)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évfolyam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harmadik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alkalommal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történő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megismétlése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esetében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díjalap</t>
    </r>
  </si>
  <si>
    <r>
      <t>b)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az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évfolyam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további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alkalommal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történő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megismétlése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esetében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díjalap</t>
    </r>
  </si>
  <si>
    <r>
      <rPr>
        <b/>
        <sz val="11"/>
        <rFont val="Calibri"/>
        <family val="3"/>
        <charset val="134"/>
      </rPr>
      <t>5.§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(3)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nem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nappali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oktatás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munkarendje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szerint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szervezett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felnőttoktatáskeretében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részt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vevő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19.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életévét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betöltő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tanulónak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tandíj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mértéke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a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díjalap</t>
    </r>
  </si>
  <si>
    <r>
      <rPr>
        <b/>
        <sz val="11"/>
        <rFont val="Calibri"/>
        <family val="3"/>
        <charset val="134"/>
      </rPr>
      <t>5.§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(4)</t>
    </r>
    <r>
      <rPr>
        <b/>
        <sz val="11"/>
        <rFont val="Calibri"/>
        <family val="3"/>
        <charset val="134"/>
        <scheme val="minor"/>
      </rPr>
      <t xml:space="preserve"> bek. a)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R.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36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(1a) bekezdés a) pontjában meghatározott</t>
    </r>
    <r>
      <rPr>
        <b/>
        <sz val="11"/>
        <rFont val="Calibri"/>
        <family val="3"/>
        <charset val="134"/>
        <scheme val="minor"/>
      </rPr>
      <t xml:space="preserve"> esetben a kollégiumi szolgáltatás igénybevétele esetén saját tanuló számára a tandíj mértéke azonos az iskolai térítési díjjal</t>
    </r>
  </si>
  <si>
    <r>
      <rPr>
        <b/>
        <sz val="11"/>
        <rFont val="Calibri"/>
        <family val="3"/>
        <charset val="134"/>
      </rPr>
      <t>5</t>
    </r>
    <r>
      <rPr>
        <sz val="11"/>
        <rFont val="Calibri"/>
        <family val="3"/>
        <charset val="134"/>
      </rPr>
      <t>.</t>
    </r>
    <r>
      <rPr>
        <b/>
        <sz val="11"/>
        <rFont val="Calibri"/>
        <family val="3"/>
        <charset val="134"/>
      </rPr>
      <t>§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(4)</t>
    </r>
    <r>
      <rPr>
        <b/>
        <sz val="11"/>
        <rFont val="Calibri"/>
        <family val="3"/>
        <charset val="134"/>
        <scheme val="minor"/>
      </rPr>
      <t xml:space="preserve"> bek. b) </t>
    </r>
    <r>
      <rPr>
        <b/>
        <sz val="11"/>
        <rFont val="Calibri"/>
        <family val="3"/>
        <charset val="134"/>
      </rPr>
      <t>Az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R.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36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§</t>
    </r>
    <r>
      <rPr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(1a) bekezdés a) pontjában meghatározott</t>
    </r>
    <r>
      <rPr>
        <b/>
        <sz val="11"/>
        <rFont val="Calibri"/>
        <family val="3"/>
        <charset val="134"/>
        <scheme val="minor"/>
      </rPr>
      <t xml:space="preserve"> esetben a kollégiumi szolgáltatás igénybevétele esetén más int.ben isk.alapszolg.-t igénybe vevő tanuló számára a tandíj mértéke a koll. díjalap 20%-a</t>
    </r>
  </si>
  <si>
    <r>
      <rPr>
        <b/>
        <sz val="11"/>
        <rFont val="Calibri"/>
        <family val="3"/>
        <charset val="134"/>
      </rPr>
      <t>5</t>
    </r>
    <r>
      <rPr>
        <sz val="11"/>
        <rFont val="Calibri"/>
        <family val="3"/>
        <charset val="134"/>
      </rPr>
      <t>.</t>
    </r>
    <r>
      <rPr>
        <b/>
        <sz val="11"/>
        <rFont val="Calibri"/>
        <family val="3"/>
        <charset val="134"/>
      </rPr>
      <t>§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(4)</t>
    </r>
    <r>
      <rPr>
        <b/>
        <sz val="11"/>
        <rFont val="Calibri"/>
        <family val="3"/>
        <charset val="134"/>
        <scheme val="minor"/>
      </rPr>
      <t xml:space="preserve"> bek. c) </t>
    </r>
    <r>
      <rPr>
        <b/>
        <sz val="11"/>
        <rFont val="Calibri"/>
        <family val="3"/>
        <charset val="134"/>
      </rPr>
      <t>Az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R.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36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§</t>
    </r>
    <r>
      <rPr>
        <b/>
        <sz val="11"/>
        <rFont val="Calibri"/>
        <family val="3"/>
        <charset val="134"/>
        <scheme val="minor"/>
      </rPr>
      <t xml:space="preserve"> </t>
    </r>
    <r>
      <rPr>
        <b/>
        <sz val="11"/>
        <rFont val="Calibri"/>
        <family val="3"/>
        <charset val="134"/>
      </rPr>
      <t>(1a) b) pontjában meghatározott</t>
    </r>
    <r>
      <rPr>
        <b/>
        <sz val="11"/>
        <rFont val="Calibri"/>
        <family val="3"/>
        <charset val="134"/>
        <scheme val="minor"/>
      </rPr>
      <t xml:space="preserve"> esetben a kollégiumi szolgáltatás igénybevétele esetén a tandíj mértéke a koll. díjalap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</si>
</sst>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Ft&quot;;[Red]\-#,##0\ &quot;Ft&quot;"/>
    <numFmt numFmtId="43" formatCode="_-* #,##0.00\ _F_t_-;\-* #,##0.00\ _F_t_-;_-* &quot;-&quot;??\ _F_t_-;_-@_-"/>
    <numFmt numFmtId="164" formatCode="0_ "/>
    <numFmt numFmtId="165" formatCode="_-* #,##0\ _F_t_-;\-* #,##0\ _F_t_-;_-* &quot;-&quot;??\ _F_t_-;_-@_-"/>
  </numFmts>
  <fonts count="12">
    <font>
      <sz val="11"/>
      <color theme="1"/>
      <name val="Calibri"/>
      <family val="2"/>
      <charset val="134"/>
      <scheme val="minor"/>
    </font>
    <font>
      <sz val="10"/>
      <color rgb="FF000000"/>
      <name val="Calibri"/>
      <family val="3"/>
      <charset val="134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3"/>
      <charset val="134"/>
    </font>
    <font>
      <sz val="11"/>
      <color rgb="FFFF0000"/>
      <name val="Calibri"/>
      <family val="3"/>
      <charset val="134"/>
      <scheme val="minor"/>
    </font>
    <font>
      <b/>
      <sz val="11"/>
      <color rgb="FFFF0000"/>
      <name val="Calibri"/>
      <family val="3"/>
      <charset val="134"/>
    </font>
    <font>
      <sz val="11"/>
      <name val="Calibri"/>
      <family val="3"/>
      <charset val="134"/>
    </font>
    <font>
      <b/>
      <sz val="11"/>
      <name val="Calibri"/>
      <family val="3"/>
      <charset val="134"/>
    </font>
    <font>
      <sz val="11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/>
  </cellStyleXfs>
  <cellXfs count="59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164" fontId="5" fillId="4" borderId="5" xfId="0" applyNumberFormat="1" applyFont="1" applyFill="1" applyBorder="1" applyAlignment="1">
      <alignment horizontal="left" vertical="top"/>
    </xf>
    <xf numFmtId="1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/>
    </xf>
    <xf numFmtId="165" fontId="5" fillId="2" borderId="5" xfId="0" applyNumberFormat="1" applyFont="1" applyFill="1" applyBorder="1" applyAlignment="1">
      <alignment horizontal="left" vertical="top"/>
    </xf>
    <xf numFmtId="164" fontId="5" fillId="4" borderId="3" xfId="0" applyNumberFormat="1" applyFont="1" applyFill="1" applyBorder="1" applyAlignment="1">
      <alignment horizontal="left" vertical="top"/>
    </xf>
    <xf numFmtId="1" fontId="5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6" fontId="9" fillId="2" borderId="1" xfId="0" applyNumberFormat="1" applyFont="1" applyFill="1" applyBorder="1" applyAlignment="1">
      <alignment horizontal="left" vertical="top"/>
    </xf>
    <xf numFmtId="6" fontId="9" fillId="2" borderId="5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65" fontId="10" fillId="0" borderId="0" xfId="1" applyNumberFormat="1" applyFont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165" fontId="8" fillId="4" borderId="5" xfId="1" applyNumberFormat="1" applyFont="1" applyFill="1" applyBorder="1" applyAlignment="1">
      <alignment horizontal="left" vertical="top"/>
    </xf>
    <xf numFmtId="165" fontId="8" fillId="2" borderId="5" xfId="1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165" fontId="8" fillId="2" borderId="1" xfId="1" applyNumberFormat="1" applyFont="1" applyFill="1" applyBorder="1" applyAlignment="1">
      <alignment horizontal="left" vertical="top"/>
    </xf>
    <xf numFmtId="165" fontId="8" fillId="4" borderId="3" xfId="1" applyNumberFormat="1" applyFont="1" applyFill="1" applyBorder="1" applyAlignment="1">
      <alignment horizontal="left" vertical="top"/>
    </xf>
    <xf numFmtId="165" fontId="8" fillId="2" borderId="1" xfId="0" applyNumberFormat="1" applyFont="1" applyFill="1" applyBorder="1" applyAlignment="1">
      <alignment horizontal="left" vertical="top"/>
    </xf>
    <xf numFmtId="165" fontId="8" fillId="2" borderId="5" xfId="0" applyNumberFormat="1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/>
    </xf>
    <xf numFmtId="164" fontId="8" fillId="0" borderId="3" xfId="0" applyNumberFormat="1" applyFont="1" applyFill="1" applyBorder="1" applyAlignment="1">
      <alignment horizontal="left" vertical="top"/>
    </xf>
    <xf numFmtId="165" fontId="8" fillId="0" borderId="1" xfId="0" applyNumberFormat="1" applyFont="1" applyFill="1" applyBorder="1" applyAlignment="1">
      <alignment horizontal="left" vertical="top"/>
    </xf>
    <xf numFmtId="165" fontId="8" fillId="0" borderId="5" xfId="0" applyNumberFormat="1" applyFont="1" applyFill="1" applyBorder="1" applyAlignment="1">
      <alignment horizontal="left" vertical="top"/>
    </xf>
    <xf numFmtId="164" fontId="8" fillId="4" borderId="3" xfId="0" applyNumberFormat="1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1" fontId="8" fillId="4" borderId="3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7"/>
  <sheetViews>
    <sheetView tabSelected="1" topLeftCell="A76" zoomScale="106" zoomScaleNormal="70" workbookViewId="0">
      <selection activeCell="C95" sqref="C95:L96"/>
    </sheetView>
  </sheetViews>
  <sheetFormatPr defaultRowHeight="15"/>
  <cols>
    <col min="1" max="1" width="12.28515625" style="1" customWidth="1"/>
    <col min="2" max="2" width="17" style="1" customWidth="1"/>
    <col min="3" max="3" width="19.42578125" style="1" customWidth="1"/>
    <col min="4" max="4" width="11" style="1" customWidth="1"/>
    <col min="5" max="5" width="11.28515625" style="1" customWidth="1"/>
    <col min="6" max="12" width="14.28515625" style="1" bestFit="1" customWidth="1"/>
    <col min="13" max="16384" width="9.140625" style="1"/>
  </cols>
  <sheetData>
    <row r="1" spans="1:12">
      <c r="A1" s="19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1" t="s">
        <v>34</v>
      </c>
      <c r="B2" s="22"/>
      <c r="C2" s="22"/>
      <c r="D2" s="21" t="s">
        <v>35</v>
      </c>
      <c r="E2" s="22"/>
      <c r="F2" s="22"/>
      <c r="G2" s="22"/>
      <c r="H2" s="22"/>
      <c r="I2" s="22"/>
      <c r="J2" s="22"/>
      <c r="K2" s="22"/>
      <c r="L2" s="22"/>
    </row>
    <row r="3" spans="1:12">
      <c r="A3" s="23" t="s">
        <v>36</v>
      </c>
      <c r="B3" s="24"/>
      <c r="C3" s="24"/>
      <c r="D3" s="21" t="s">
        <v>37</v>
      </c>
      <c r="E3" s="22"/>
      <c r="F3" s="22"/>
      <c r="G3" s="22"/>
      <c r="H3" s="22"/>
      <c r="I3" s="22"/>
      <c r="J3" s="22"/>
      <c r="K3" s="22"/>
      <c r="L3" s="22"/>
    </row>
    <row r="4" spans="1:12">
      <c r="A4" s="24"/>
      <c r="B4" s="24"/>
      <c r="C4" s="24"/>
      <c r="D4" s="25">
        <v>0</v>
      </c>
      <c r="E4" s="25">
        <v>38476</v>
      </c>
      <c r="F4" s="25">
        <v>39901</v>
      </c>
      <c r="G4" s="25">
        <v>42751</v>
      </c>
      <c r="H4" s="25">
        <v>45601</v>
      </c>
      <c r="I4" s="25">
        <v>48451</v>
      </c>
      <c r="J4" s="25">
        <v>51301</v>
      </c>
      <c r="K4" s="25">
        <v>54151</v>
      </c>
      <c r="L4" s="25">
        <v>57001</v>
      </c>
    </row>
    <row r="5" spans="1:12" ht="88.5" customHeight="1">
      <c r="A5" s="24"/>
      <c r="B5" s="24"/>
      <c r="C5" s="24"/>
      <c r="D5" s="25">
        <v>38475</v>
      </c>
      <c r="E5" s="25">
        <v>39900</v>
      </c>
      <c r="F5" s="25">
        <v>42750</v>
      </c>
      <c r="G5" s="25">
        <v>45600</v>
      </c>
      <c r="H5" s="25">
        <v>48450</v>
      </c>
      <c r="I5" s="25">
        <v>51300</v>
      </c>
      <c r="J5" s="25">
        <v>54150</v>
      </c>
      <c r="K5" s="26">
        <v>57000</v>
      </c>
      <c r="L5" s="25">
        <v>59850</v>
      </c>
    </row>
    <row r="6" spans="1:12" ht="30">
      <c r="A6" s="27" t="s">
        <v>38</v>
      </c>
      <c r="B6" s="28">
        <v>1029501</v>
      </c>
      <c r="C6" s="29" t="s">
        <v>0</v>
      </c>
      <c r="D6" s="31" t="s">
        <v>39</v>
      </c>
      <c r="E6" s="31" t="s">
        <v>40</v>
      </c>
      <c r="F6" s="31" t="s">
        <v>41</v>
      </c>
      <c r="G6" s="31" t="s">
        <v>42</v>
      </c>
      <c r="H6" s="31" t="s">
        <v>43</v>
      </c>
      <c r="I6" s="31" t="s">
        <v>44</v>
      </c>
      <c r="J6" s="31" t="s">
        <v>45</v>
      </c>
      <c r="K6" s="31" t="s">
        <v>46</v>
      </c>
      <c r="L6" s="31" t="s">
        <v>47</v>
      </c>
    </row>
    <row r="7" spans="1:12">
      <c r="A7" s="30" t="s">
        <v>1</v>
      </c>
      <c r="B7" s="28">
        <f>B6*20%</f>
        <v>205900.2</v>
      </c>
      <c r="C7" s="27"/>
      <c r="D7" s="32">
        <f>B7*1%+41</f>
        <v>2100.002</v>
      </c>
      <c r="E7" s="33">
        <f>B7*20%+20</f>
        <v>41200.040000000008</v>
      </c>
      <c r="F7" s="33">
        <f>B7*30%+30</f>
        <v>61800.06</v>
      </c>
      <c r="G7" s="33">
        <f>B7*40%+40</f>
        <v>82400.080000000016</v>
      </c>
      <c r="H7" s="33">
        <f>B7*50%-50</f>
        <v>102900.1</v>
      </c>
      <c r="I7" s="33">
        <f>B7*60%-40</f>
        <v>123500.12</v>
      </c>
      <c r="J7" s="33">
        <f>B7*70%-30</f>
        <v>144100.13999999998</v>
      </c>
      <c r="K7" s="33">
        <f>B7*80%-20</f>
        <v>164700.16000000003</v>
      </c>
      <c r="L7" s="33">
        <f>B7*90%-10</f>
        <v>185300.18000000002</v>
      </c>
    </row>
    <row r="8" spans="1:12">
      <c r="A8" s="5"/>
      <c r="C8" s="4"/>
      <c r="D8" s="2"/>
      <c r="E8" s="3"/>
      <c r="F8" s="4"/>
      <c r="G8" s="4"/>
      <c r="H8" s="4"/>
      <c r="I8" s="4"/>
      <c r="J8" s="4"/>
      <c r="K8" s="4"/>
      <c r="L8" s="4"/>
    </row>
    <row r="9" spans="1:12">
      <c r="A9" s="5"/>
      <c r="C9" s="4"/>
      <c r="D9" s="2"/>
      <c r="E9" s="4"/>
      <c r="F9" s="4"/>
      <c r="G9" s="4"/>
      <c r="H9" s="4"/>
      <c r="I9" s="4"/>
      <c r="J9" s="4"/>
      <c r="K9" s="4"/>
      <c r="L9" s="4"/>
    </row>
    <row r="10" spans="1:12">
      <c r="A10" s="23" t="s">
        <v>48</v>
      </c>
      <c r="B10" s="24"/>
      <c r="C10" s="24"/>
      <c r="D10" s="21" t="s">
        <v>37</v>
      </c>
      <c r="E10" s="22"/>
      <c r="F10" s="22"/>
      <c r="G10" s="22"/>
      <c r="H10" s="22"/>
      <c r="I10" s="22"/>
      <c r="J10" s="22"/>
      <c r="K10" s="22"/>
      <c r="L10" s="22"/>
    </row>
    <row r="11" spans="1:12">
      <c r="A11" s="24"/>
      <c r="B11" s="24"/>
      <c r="C11" s="24"/>
      <c r="D11" s="25">
        <v>0</v>
      </c>
      <c r="E11" s="25">
        <v>38476</v>
      </c>
      <c r="F11" s="25">
        <v>39901</v>
      </c>
      <c r="G11" s="25">
        <v>42751</v>
      </c>
      <c r="H11" s="25">
        <v>45601</v>
      </c>
      <c r="I11" s="25">
        <v>48451</v>
      </c>
      <c r="J11" s="25">
        <v>51301</v>
      </c>
      <c r="K11" s="25">
        <v>54151</v>
      </c>
      <c r="L11" s="25">
        <v>57001</v>
      </c>
    </row>
    <row r="12" spans="1:12">
      <c r="A12" s="24"/>
      <c r="B12" s="24"/>
      <c r="C12" s="24"/>
      <c r="D12" s="25">
        <v>38475</v>
      </c>
      <c r="E12" s="25">
        <v>39900</v>
      </c>
      <c r="F12" s="25">
        <v>42750</v>
      </c>
      <c r="G12" s="25">
        <v>45600</v>
      </c>
      <c r="H12" s="25">
        <v>48450</v>
      </c>
      <c r="I12" s="25">
        <v>51300</v>
      </c>
      <c r="J12" s="25">
        <v>54150</v>
      </c>
      <c r="K12" s="26">
        <v>57000</v>
      </c>
      <c r="L12" s="25">
        <v>59850</v>
      </c>
    </row>
    <row r="13" spans="1:12" ht="30">
      <c r="A13" s="34" t="s">
        <v>27</v>
      </c>
      <c r="B13" s="31" t="s">
        <v>38</v>
      </c>
      <c r="C13" s="35" t="s">
        <v>0</v>
      </c>
      <c r="D13" s="31" t="s">
        <v>39</v>
      </c>
      <c r="E13" s="31" t="s">
        <v>40</v>
      </c>
      <c r="F13" s="31" t="s">
        <v>41</v>
      </c>
      <c r="G13" s="31" t="s">
        <v>42</v>
      </c>
      <c r="H13" s="31" t="s">
        <v>43</v>
      </c>
      <c r="I13" s="31" t="s">
        <v>44</v>
      </c>
      <c r="J13" s="31" t="s">
        <v>45</v>
      </c>
      <c r="K13" s="31" t="s">
        <v>46</v>
      </c>
      <c r="L13" s="31" t="s">
        <v>47</v>
      </c>
    </row>
    <row r="14" spans="1:12">
      <c r="A14" s="30" t="s">
        <v>2</v>
      </c>
      <c r="B14" s="30" t="s">
        <v>3</v>
      </c>
      <c r="C14" s="36">
        <f>B6*3%</f>
        <v>30885.03</v>
      </c>
      <c r="D14" s="37">
        <f>C14*1%-9</f>
        <v>299.8503</v>
      </c>
      <c r="E14" s="38">
        <f>C14*20%+23</f>
        <v>6200.0060000000003</v>
      </c>
      <c r="F14" s="38">
        <f>C14*30%+34</f>
        <v>9299.509</v>
      </c>
      <c r="G14" s="38">
        <f>C14*40%+46</f>
        <v>12400.012000000001</v>
      </c>
      <c r="H14" s="38">
        <f>C14*50%-43</f>
        <v>15399.514999999999</v>
      </c>
      <c r="I14" s="38">
        <f>C14*60%-31</f>
        <v>18500.018</v>
      </c>
      <c r="J14" s="38">
        <f>C14*70%-20</f>
        <v>21599.520999999997</v>
      </c>
      <c r="K14" s="39">
        <f>C14*80%-8</f>
        <v>24700.024000000001</v>
      </c>
      <c r="L14" s="38">
        <f>C14*90%+3</f>
        <v>27799.526999999998</v>
      </c>
    </row>
    <row r="15" spans="1:12">
      <c r="A15" s="30" t="s">
        <v>4</v>
      </c>
      <c r="B15" s="27" t="s">
        <v>49</v>
      </c>
      <c r="C15" s="36">
        <f>B6*4%</f>
        <v>41180.04</v>
      </c>
      <c r="D15" s="37">
        <f>C15*1%-12</f>
        <v>399.80040000000002</v>
      </c>
      <c r="E15" s="38">
        <f>C15*20%-36</f>
        <v>8200.0079999999998</v>
      </c>
      <c r="F15" s="38">
        <f>C15*30%+46</f>
        <v>12400.012000000001</v>
      </c>
      <c r="G15" s="38">
        <f>C15*40%+28</f>
        <v>16500.016</v>
      </c>
      <c r="H15" s="38">
        <f>C15*50%+10</f>
        <v>20600.02</v>
      </c>
      <c r="I15" s="38">
        <f>C15*60%-8</f>
        <v>24700.024000000001</v>
      </c>
      <c r="J15" s="38">
        <f>C15*70%-26</f>
        <v>28800.027999999998</v>
      </c>
      <c r="K15" s="39">
        <f>C15*80%-44</f>
        <v>32900.031999999999</v>
      </c>
      <c r="L15" s="38">
        <f>C15*90%+38</f>
        <v>37100.036</v>
      </c>
    </row>
    <row r="16" spans="1:12">
      <c r="A16" s="30" t="s">
        <v>5</v>
      </c>
      <c r="B16" s="30" t="s">
        <v>6</v>
      </c>
      <c r="C16" s="36">
        <f>B6*10%</f>
        <v>102950.1</v>
      </c>
      <c r="D16" s="37">
        <f>C16*1%-30</f>
        <v>999.50099999999998</v>
      </c>
      <c r="E16" s="38">
        <f>C16*20%+10</f>
        <v>20600.020000000004</v>
      </c>
      <c r="F16" s="38">
        <f>C16*30%+15</f>
        <v>30900.03</v>
      </c>
      <c r="G16" s="38">
        <f>C16*40%+20</f>
        <v>41200.040000000008</v>
      </c>
      <c r="H16" s="38">
        <f>C16*50%+25</f>
        <v>51500.05</v>
      </c>
      <c r="I16" s="38">
        <f>C16*60%+30</f>
        <v>61800.06</v>
      </c>
      <c r="J16" s="38">
        <f>C16*70%+35</f>
        <v>72100.069999999992</v>
      </c>
      <c r="K16" s="39">
        <f>C16*80%+40</f>
        <v>82400.080000000016</v>
      </c>
      <c r="L16" s="38">
        <f>C16*90%+45</f>
        <v>92700.090000000011</v>
      </c>
    </row>
    <row r="17" spans="1:13">
      <c r="A17" s="30" t="s">
        <v>7</v>
      </c>
      <c r="B17" s="30" t="s">
        <v>8</v>
      </c>
      <c r="C17" s="36">
        <f>B6*15%</f>
        <v>154425.15</v>
      </c>
      <c r="D17" s="37">
        <f>C17*1%-44</f>
        <v>1500.2515000000001</v>
      </c>
      <c r="E17" s="38">
        <f>C17*20%+15</f>
        <v>30900.03</v>
      </c>
      <c r="F17" s="38">
        <f>C17*30%-28</f>
        <v>46299.544999999998</v>
      </c>
      <c r="G17" s="38">
        <f>C17*40%+30</f>
        <v>61800.06</v>
      </c>
      <c r="H17" s="38">
        <f>C17*50%-13</f>
        <v>77199.574999999997</v>
      </c>
      <c r="I17" s="38">
        <f>C17*60%+45</f>
        <v>92700.09</v>
      </c>
      <c r="J17" s="38">
        <f>C17*70%+2</f>
        <v>108099.605</v>
      </c>
      <c r="K17" s="39">
        <f>C17*80%-40</f>
        <v>123500.12</v>
      </c>
      <c r="L17" s="38">
        <f>C17*90%+17</f>
        <v>138999.63500000001</v>
      </c>
    </row>
    <row r="18" spans="1:13">
      <c r="A18" s="30" t="s">
        <v>9</v>
      </c>
      <c r="B18" s="30" t="s">
        <v>1</v>
      </c>
      <c r="C18" s="36">
        <f>B6*20%</f>
        <v>205900.2</v>
      </c>
      <c r="D18" s="37">
        <f>C18*1%+41</f>
        <v>2100.002</v>
      </c>
      <c r="E18" s="38">
        <f>C18*20%+20</f>
        <v>41200.040000000008</v>
      </c>
      <c r="F18" s="38">
        <f>C18*30%+30</f>
        <v>61800.06</v>
      </c>
      <c r="G18" s="38">
        <f>C18*40%+40</f>
        <v>82400.080000000016</v>
      </c>
      <c r="H18" s="38">
        <f>C18*50%-50</f>
        <v>102900.1</v>
      </c>
      <c r="I18" s="38">
        <f>C18*60%-40</f>
        <v>123500.12</v>
      </c>
      <c r="J18" s="38">
        <f>C18*70%-30</f>
        <v>144100.13999999998</v>
      </c>
      <c r="K18" s="39">
        <f>C18*80%-20</f>
        <v>164700.16000000003</v>
      </c>
      <c r="L18" s="38">
        <f>C18*90%-10</f>
        <v>185300.18000000002</v>
      </c>
    </row>
    <row r="19" spans="1:13">
      <c r="A19" s="30" t="s">
        <v>10</v>
      </c>
      <c r="B19" s="30" t="s">
        <v>11</v>
      </c>
      <c r="C19" s="36">
        <f>B6*30%</f>
        <v>308850.3</v>
      </c>
      <c r="D19" s="37">
        <f>C19*1%+11</f>
        <v>3099.5030000000002</v>
      </c>
      <c r="E19" s="38">
        <f>C19*20%+30</f>
        <v>61800.06</v>
      </c>
      <c r="F19" s="38">
        <f>C19*30%+45</f>
        <v>92700.09</v>
      </c>
      <c r="G19" s="38">
        <f>C19*40%-40</f>
        <v>123500.12</v>
      </c>
      <c r="H19" s="38">
        <f>C19*50%-25</f>
        <v>154400.15</v>
      </c>
      <c r="I19" s="38">
        <f>C19*60%-10</f>
        <v>185300.18</v>
      </c>
      <c r="J19" s="38">
        <f>C19*70%+5</f>
        <v>216200.21</v>
      </c>
      <c r="K19" s="39">
        <f>C19*80%+20</f>
        <v>247100.24</v>
      </c>
      <c r="L19" s="38">
        <f>C19*90%+35</f>
        <v>278000.27</v>
      </c>
    </row>
    <row r="20" spans="1:13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3">
      <c r="A21" s="23" t="s">
        <v>50</v>
      </c>
      <c r="B21" s="24"/>
      <c r="C21" s="24"/>
      <c r="D21" s="21" t="s">
        <v>37</v>
      </c>
      <c r="E21" s="22"/>
      <c r="F21" s="22"/>
      <c r="G21" s="22"/>
      <c r="H21" s="22"/>
      <c r="I21" s="22"/>
      <c r="J21" s="22"/>
      <c r="K21" s="22"/>
      <c r="L21" s="22"/>
    </row>
    <row r="22" spans="1:13">
      <c r="A22" s="24"/>
      <c r="B22" s="24"/>
      <c r="C22" s="24"/>
      <c r="D22" s="25">
        <v>0</v>
      </c>
      <c r="E22" s="25">
        <v>38476</v>
      </c>
      <c r="F22" s="25">
        <v>39901</v>
      </c>
      <c r="G22" s="25">
        <v>42751</v>
      </c>
      <c r="H22" s="25">
        <v>45601</v>
      </c>
      <c r="I22" s="25">
        <v>48451</v>
      </c>
      <c r="J22" s="25">
        <v>51301</v>
      </c>
      <c r="K22" s="25">
        <v>54151</v>
      </c>
      <c r="L22" s="25">
        <v>57001</v>
      </c>
    </row>
    <row r="23" spans="1:13" ht="32.25" customHeight="1">
      <c r="A23" s="24"/>
      <c r="B23" s="24"/>
      <c r="C23" s="24"/>
      <c r="D23" s="25">
        <v>38475</v>
      </c>
      <c r="E23" s="25">
        <v>39900</v>
      </c>
      <c r="F23" s="25">
        <v>42750</v>
      </c>
      <c r="G23" s="25">
        <v>45600</v>
      </c>
      <c r="H23" s="25">
        <v>48450</v>
      </c>
      <c r="I23" s="25">
        <v>51300</v>
      </c>
      <c r="J23" s="25">
        <v>54150</v>
      </c>
      <c r="K23" s="26">
        <v>57000</v>
      </c>
      <c r="L23" s="25">
        <v>59850</v>
      </c>
    </row>
    <row r="24" spans="1:13" ht="30">
      <c r="A24" s="41" t="s">
        <v>38</v>
      </c>
      <c r="B24" s="42"/>
      <c r="C24" s="43" t="s">
        <v>0</v>
      </c>
      <c r="D24" s="44" t="s">
        <v>39</v>
      </c>
      <c r="E24" s="44" t="s">
        <v>40</v>
      </c>
      <c r="F24" s="44" t="s">
        <v>41</v>
      </c>
      <c r="G24" s="44" t="s">
        <v>42</v>
      </c>
      <c r="H24" s="44" t="s">
        <v>43</v>
      </c>
      <c r="I24" s="44" t="s">
        <v>44</v>
      </c>
      <c r="J24" s="44" t="s">
        <v>45</v>
      </c>
      <c r="K24" s="44" t="s">
        <v>46</v>
      </c>
      <c r="L24" s="44" t="s">
        <v>47</v>
      </c>
      <c r="M24" s="42"/>
    </row>
    <row r="25" spans="1:13">
      <c r="A25" s="45" t="s">
        <v>28</v>
      </c>
      <c r="B25" s="42"/>
      <c r="C25" s="41">
        <v>0</v>
      </c>
      <c r="D25" s="46">
        <f t="shared" ref="D25" si="0">C25*1%</f>
        <v>0</v>
      </c>
      <c r="E25" s="47">
        <f t="shared" ref="E25" si="1">C25*20%</f>
        <v>0</v>
      </c>
      <c r="F25" s="47">
        <f t="shared" ref="F25" si="2">C25*30%</f>
        <v>0</v>
      </c>
      <c r="G25" s="47">
        <f t="shared" ref="G25" si="3">C25*40%</f>
        <v>0</v>
      </c>
      <c r="H25" s="47">
        <f t="shared" ref="H25" si="4">C25*50%</f>
        <v>0</v>
      </c>
      <c r="I25" s="47">
        <f t="shared" ref="I25" si="5">C25*60%</f>
        <v>0</v>
      </c>
      <c r="J25" s="47">
        <f t="shared" ref="J25" si="6">C25*70%</f>
        <v>0</v>
      </c>
      <c r="K25" s="48">
        <f t="shared" ref="K25" si="7">C25*80%</f>
        <v>0</v>
      </c>
      <c r="L25" s="47">
        <f t="shared" ref="L25" si="8">C25*90%</f>
        <v>0</v>
      </c>
      <c r="M25" s="42"/>
    </row>
    <row r="26" spans="1:13">
      <c r="A26" s="5"/>
      <c r="C26" s="4"/>
      <c r="D26" s="2"/>
      <c r="E26" s="2"/>
      <c r="F26" s="4"/>
      <c r="G26" s="4"/>
      <c r="H26" s="4"/>
      <c r="I26" s="4"/>
      <c r="J26" s="4"/>
      <c r="K26" s="4"/>
      <c r="L26" s="4"/>
    </row>
    <row r="27" spans="1:13">
      <c r="A27" s="23" t="s">
        <v>51</v>
      </c>
      <c r="B27" s="24"/>
      <c r="C27" s="24"/>
      <c r="D27" s="27" t="s">
        <v>37</v>
      </c>
      <c r="E27" s="40"/>
      <c r="F27" s="40"/>
      <c r="G27" s="40"/>
      <c r="H27" s="40"/>
      <c r="I27" s="40"/>
      <c r="J27" s="40"/>
      <c r="K27" s="40"/>
      <c r="L27" s="40"/>
    </row>
    <row r="28" spans="1:13">
      <c r="A28" s="24"/>
      <c r="B28" s="24"/>
      <c r="C28" s="24"/>
      <c r="D28" s="25">
        <v>0</v>
      </c>
      <c r="E28" s="25">
        <v>38476</v>
      </c>
      <c r="F28" s="25">
        <v>39901</v>
      </c>
      <c r="G28" s="25">
        <v>42751</v>
      </c>
      <c r="H28" s="25">
        <v>45601</v>
      </c>
      <c r="I28" s="25">
        <v>48451</v>
      </c>
      <c r="J28" s="25">
        <v>51301</v>
      </c>
      <c r="K28" s="25">
        <v>54151</v>
      </c>
      <c r="L28" s="25">
        <v>57001</v>
      </c>
    </row>
    <row r="29" spans="1:13" ht="93" customHeight="1">
      <c r="A29" s="24"/>
      <c r="B29" s="24"/>
      <c r="C29" s="24"/>
      <c r="D29" s="25">
        <v>38475</v>
      </c>
      <c r="E29" s="25">
        <v>39900</v>
      </c>
      <c r="F29" s="25">
        <v>42750</v>
      </c>
      <c r="G29" s="25">
        <v>45600</v>
      </c>
      <c r="H29" s="25">
        <v>48450</v>
      </c>
      <c r="I29" s="25">
        <v>51300</v>
      </c>
      <c r="J29" s="25">
        <v>54150</v>
      </c>
      <c r="K29" s="26">
        <v>57000</v>
      </c>
      <c r="L29" s="25">
        <v>59850</v>
      </c>
    </row>
    <row r="30" spans="1:13" ht="30">
      <c r="A30" s="27" t="s">
        <v>38</v>
      </c>
      <c r="B30" s="40"/>
      <c r="C30" s="29" t="s">
        <v>0</v>
      </c>
      <c r="D30" s="31" t="s">
        <v>39</v>
      </c>
      <c r="E30" s="31" t="s">
        <v>40</v>
      </c>
      <c r="F30" s="31" t="s">
        <v>41</v>
      </c>
      <c r="G30" s="31" t="s">
        <v>42</v>
      </c>
      <c r="H30" s="31" t="s">
        <v>43</v>
      </c>
      <c r="I30" s="31" t="s">
        <v>44</v>
      </c>
      <c r="J30" s="31" t="s">
        <v>45</v>
      </c>
      <c r="K30" s="31" t="s">
        <v>46</v>
      </c>
      <c r="L30" s="31" t="s">
        <v>47</v>
      </c>
    </row>
    <row r="31" spans="1:13">
      <c r="A31" s="30" t="s">
        <v>29</v>
      </c>
      <c r="B31" s="40"/>
      <c r="C31" s="27">
        <v>0</v>
      </c>
      <c r="D31" s="49">
        <f t="shared" ref="D31" si="9">C31*1%</f>
        <v>0</v>
      </c>
      <c r="E31" s="38">
        <f t="shared" ref="E31" si="10">C31*20%</f>
        <v>0</v>
      </c>
      <c r="F31" s="38">
        <f t="shared" ref="F31" si="11">C31*30%</f>
        <v>0</v>
      </c>
      <c r="G31" s="38">
        <f t="shared" ref="G31" si="12">C31*40%</f>
        <v>0</v>
      </c>
      <c r="H31" s="38">
        <f t="shared" ref="H31" si="13">C31*50%</f>
        <v>0</v>
      </c>
      <c r="I31" s="38">
        <f t="shared" ref="I31" si="14">C31*60%</f>
        <v>0</v>
      </c>
      <c r="J31" s="38">
        <f t="shared" ref="J31" si="15">C31*70%</f>
        <v>0</v>
      </c>
      <c r="K31" s="39">
        <f t="shared" ref="K31" si="16">C31*80%</f>
        <v>0</v>
      </c>
      <c r="L31" s="38">
        <f t="shared" ref="L31" si="17">C31*90%</f>
        <v>0</v>
      </c>
    </row>
    <row r="32" spans="1:13">
      <c r="A32" s="5"/>
      <c r="C32" s="4"/>
      <c r="D32" s="2"/>
      <c r="E32" s="4"/>
      <c r="F32" s="4"/>
      <c r="G32" s="4"/>
      <c r="H32" s="4"/>
      <c r="I32" s="4"/>
      <c r="J32" s="4"/>
      <c r="K32" s="4"/>
      <c r="L32" s="4"/>
    </row>
    <row r="33" spans="1:12">
      <c r="A33" s="23" t="s">
        <v>52</v>
      </c>
      <c r="B33" s="24"/>
      <c r="C33" s="24"/>
      <c r="D33" s="27" t="s">
        <v>37</v>
      </c>
      <c r="E33" s="40"/>
      <c r="F33" s="40"/>
      <c r="G33" s="40"/>
      <c r="H33" s="40"/>
      <c r="I33" s="40"/>
      <c r="J33" s="40"/>
      <c r="K33" s="40"/>
      <c r="L33" s="40"/>
    </row>
    <row r="34" spans="1:12">
      <c r="A34" s="24"/>
      <c r="B34" s="24"/>
      <c r="C34" s="24"/>
      <c r="D34" s="25">
        <v>0</v>
      </c>
      <c r="E34" s="25">
        <v>38476</v>
      </c>
      <c r="F34" s="25">
        <v>39901</v>
      </c>
      <c r="G34" s="25">
        <v>42751</v>
      </c>
      <c r="H34" s="25">
        <v>45601</v>
      </c>
      <c r="I34" s="25">
        <v>48451</v>
      </c>
      <c r="J34" s="25">
        <v>51301</v>
      </c>
      <c r="K34" s="25">
        <v>54151</v>
      </c>
      <c r="L34" s="25">
        <v>57001</v>
      </c>
    </row>
    <row r="35" spans="1:12" ht="72.75" customHeight="1">
      <c r="A35" s="24"/>
      <c r="B35" s="24"/>
      <c r="C35" s="24"/>
      <c r="D35" s="25">
        <v>38475</v>
      </c>
      <c r="E35" s="25">
        <v>39900</v>
      </c>
      <c r="F35" s="25">
        <v>42750</v>
      </c>
      <c r="G35" s="25">
        <v>45600</v>
      </c>
      <c r="H35" s="25">
        <v>48450</v>
      </c>
      <c r="I35" s="25">
        <v>51300</v>
      </c>
      <c r="J35" s="25">
        <v>54150</v>
      </c>
      <c r="K35" s="26">
        <v>57000</v>
      </c>
      <c r="L35" s="25">
        <v>59850</v>
      </c>
    </row>
    <row r="36" spans="1:12" ht="30">
      <c r="A36" s="27" t="s">
        <v>38</v>
      </c>
      <c r="B36" s="40"/>
      <c r="C36" s="29" t="s">
        <v>0</v>
      </c>
      <c r="D36" s="31" t="s">
        <v>39</v>
      </c>
      <c r="E36" s="31" t="s">
        <v>40</v>
      </c>
      <c r="F36" s="31" t="s">
        <v>41</v>
      </c>
      <c r="G36" s="31" t="s">
        <v>42</v>
      </c>
      <c r="H36" s="31" t="s">
        <v>43</v>
      </c>
      <c r="I36" s="31" t="s">
        <v>44</v>
      </c>
      <c r="J36" s="31" t="s">
        <v>45</v>
      </c>
      <c r="K36" s="31" t="s">
        <v>46</v>
      </c>
      <c r="L36" s="31" t="s">
        <v>47</v>
      </c>
    </row>
    <row r="37" spans="1:12">
      <c r="A37" s="30" t="s">
        <v>30</v>
      </c>
      <c r="B37" s="40"/>
      <c r="C37" s="27">
        <v>0</v>
      </c>
      <c r="D37" s="49">
        <f t="shared" ref="D37" si="18">C37*1%</f>
        <v>0</v>
      </c>
      <c r="E37" s="38">
        <f t="shared" ref="E37" si="19">C37*20%</f>
        <v>0</v>
      </c>
      <c r="F37" s="38">
        <f t="shared" ref="F37" si="20">C37*30%</f>
        <v>0</v>
      </c>
      <c r="G37" s="38">
        <f t="shared" ref="G37" si="21">C37*40%</f>
        <v>0</v>
      </c>
      <c r="H37" s="38">
        <f t="shared" ref="H37" si="22">C37*50%</f>
        <v>0</v>
      </c>
      <c r="I37" s="38">
        <f t="shared" ref="I37" si="23">C37*60%</f>
        <v>0</v>
      </c>
      <c r="J37" s="38">
        <f t="shared" ref="J37" si="24">C37*70%</f>
        <v>0</v>
      </c>
      <c r="K37" s="39">
        <f t="shared" ref="K37" si="25">C37*80%</f>
        <v>0</v>
      </c>
      <c r="L37" s="38">
        <f t="shared" ref="L37" si="26">C37*90%</f>
        <v>0</v>
      </c>
    </row>
    <row r="38" spans="1:12">
      <c r="A38" s="5"/>
      <c r="C38" s="4"/>
      <c r="D38" s="2"/>
      <c r="E38" s="4"/>
      <c r="F38" s="4"/>
      <c r="G38" s="4"/>
      <c r="H38" s="4"/>
      <c r="I38" s="4"/>
      <c r="J38" s="4"/>
      <c r="K38" s="4"/>
      <c r="L38" s="4"/>
    </row>
    <row r="39" spans="1:12">
      <c r="A39" s="5"/>
      <c r="C39" s="4"/>
      <c r="D39" s="2"/>
      <c r="E39" s="4"/>
      <c r="F39" s="4"/>
      <c r="G39" s="4"/>
      <c r="H39" s="4"/>
      <c r="I39" s="4"/>
      <c r="J39" s="4"/>
      <c r="K39" s="4"/>
      <c r="L39" s="4"/>
    </row>
    <row r="40" spans="1:12" ht="14.45" customHeight="1">
      <c r="A40" s="23" t="s">
        <v>53</v>
      </c>
      <c r="B40" s="23"/>
      <c r="C40" s="23"/>
      <c r="D40" s="27" t="s">
        <v>37</v>
      </c>
      <c r="E40" s="40"/>
      <c r="F40" s="40"/>
      <c r="G40" s="40"/>
      <c r="H40" s="40"/>
      <c r="I40" s="40"/>
      <c r="J40" s="40"/>
      <c r="K40" s="40"/>
      <c r="L40" s="40"/>
    </row>
    <row r="41" spans="1:12">
      <c r="A41" s="23"/>
      <c r="B41" s="23"/>
      <c r="C41" s="23"/>
      <c r="D41" s="25">
        <v>0</v>
      </c>
      <c r="E41" s="25">
        <v>38476</v>
      </c>
      <c r="F41" s="25">
        <v>39901</v>
      </c>
      <c r="G41" s="25">
        <v>42751</v>
      </c>
      <c r="H41" s="25">
        <v>45601</v>
      </c>
      <c r="I41" s="25">
        <v>48451</v>
      </c>
      <c r="J41" s="25">
        <v>51301</v>
      </c>
      <c r="K41" s="25">
        <v>54151</v>
      </c>
      <c r="L41" s="25">
        <v>57001</v>
      </c>
    </row>
    <row r="42" spans="1:12" ht="27" customHeight="1">
      <c r="A42" s="23"/>
      <c r="B42" s="23"/>
      <c r="C42" s="23"/>
      <c r="D42" s="25">
        <v>38475</v>
      </c>
      <c r="E42" s="25">
        <v>39900</v>
      </c>
      <c r="F42" s="25">
        <v>42750</v>
      </c>
      <c r="G42" s="25">
        <v>45600</v>
      </c>
      <c r="H42" s="25">
        <v>48450</v>
      </c>
      <c r="I42" s="25">
        <v>51300</v>
      </c>
      <c r="J42" s="25">
        <v>54150</v>
      </c>
      <c r="K42" s="26">
        <v>57000</v>
      </c>
      <c r="L42" s="25">
        <v>59850</v>
      </c>
    </row>
    <row r="43" spans="1:12" s="6" customFormat="1" ht="30">
      <c r="A43" s="31" t="s">
        <v>54</v>
      </c>
      <c r="B43" s="31" t="s">
        <v>38</v>
      </c>
      <c r="C43" s="35" t="s">
        <v>0</v>
      </c>
      <c r="D43" s="31" t="s">
        <v>39</v>
      </c>
      <c r="E43" s="31" t="s">
        <v>40</v>
      </c>
      <c r="F43" s="31" t="s">
        <v>41</v>
      </c>
      <c r="G43" s="31" t="s">
        <v>42</v>
      </c>
      <c r="H43" s="31" t="s">
        <v>43</v>
      </c>
      <c r="I43" s="31" t="s">
        <v>44</v>
      </c>
      <c r="J43" s="31" t="s">
        <v>45</v>
      </c>
      <c r="K43" s="31" t="s">
        <v>46</v>
      </c>
      <c r="L43" s="31" t="s">
        <v>47</v>
      </c>
    </row>
    <row r="44" spans="1:12">
      <c r="A44" s="30" t="s">
        <v>2</v>
      </c>
      <c r="B44" s="30" t="s">
        <v>8</v>
      </c>
      <c r="C44" s="36">
        <f>B6*15%</f>
        <v>154425.15</v>
      </c>
      <c r="D44" s="37">
        <f>C44*1%-44</f>
        <v>1500.2515000000001</v>
      </c>
      <c r="E44" s="36">
        <f>C44*20%+15</f>
        <v>30900.03</v>
      </c>
      <c r="F44" s="36">
        <f>C44*30%-28</f>
        <v>46299.544999999998</v>
      </c>
      <c r="G44" s="36">
        <f>C44*40%+30</f>
        <v>61800.06</v>
      </c>
      <c r="H44" s="36">
        <f>C44*50%-13</f>
        <v>77199.574999999997</v>
      </c>
      <c r="I44" s="36">
        <f>C44*60%+45</f>
        <v>92700.09</v>
      </c>
      <c r="J44" s="36">
        <f>C44*70%+2</f>
        <v>108099.605</v>
      </c>
      <c r="K44" s="33">
        <f>C44*80%-40</f>
        <v>123500.12</v>
      </c>
      <c r="L44" s="36">
        <f>C44*90%+17</f>
        <v>138999.63500000001</v>
      </c>
    </row>
    <row r="45" spans="1:12">
      <c r="A45" s="30" t="s">
        <v>4</v>
      </c>
      <c r="B45" s="30" t="s">
        <v>12</v>
      </c>
      <c r="C45" s="36">
        <f>B6*16%</f>
        <v>164720.16</v>
      </c>
      <c r="D45" s="37">
        <f>C45*1%-47</f>
        <v>1600.2016000000001</v>
      </c>
      <c r="E45" s="36">
        <f>C45*20%-44</f>
        <v>32900.031999999999</v>
      </c>
      <c r="F45" s="36">
        <f>C45*30%-16</f>
        <v>49400.048000000003</v>
      </c>
      <c r="G45" s="36">
        <f>C45*40%+12</f>
        <v>65900.063999999998</v>
      </c>
      <c r="H45" s="36">
        <f>C45*50%+40</f>
        <v>82400.08</v>
      </c>
      <c r="I45" s="36">
        <f>C45*60%-32</f>
        <v>98800.096000000005</v>
      </c>
      <c r="J45" s="36">
        <f>C45*70%-4</f>
        <v>115300.11199999999</v>
      </c>
      <c r="K45" s="33">
        <f>C45*80%+24</f>
        <v>131800.128</v>
      </c>
      <c r="L45" s="36">
        <f>C45*90%-48</f>
        <v>148200.144</v>
      </c>
    </row>
    <row r="46" spans="1:12">
      <c r="A46" s="30" t="s">
        <v>5</v>
      </c>
      <c r="B46" s="30" t="s">
        <v>13</v>
      </c>
      <c r="C46" s="36">
        <f>B6*17%</f>
        <v>175015.17</v>
      </c>
      <c r="D46" s="37">
        <f>C46*1%-50</f>
        <v>1700.1517000000001</v>
      </c>
      <c r="E46" s="36">
        <f>C46*20%-3</f>
        <v>35000.034000000007</v>
      </c>
      <c r="F46" s="36">
        <f>C46*30%-5</f>
        <v>52499.550999999999</v>
      </c>
      <c r="G46" s="36">
        <f>C46*40%-6</f>
        <v>70000.068000000014</v>
      </c>
      <c r="H46" s="36">
        <f>C46*50%-8</f>
        <v>87499.585000000006</v>
      </c>
      <c r="I46" s="36">
        <f>C46*60%-9</f>
        <v>105000.102</v>
      </c>
      <c r="J46" s="36">
        <f>C46*70%-11</f>
        <v>122499.61900000001</v>
      </c>
      <c r="K46" s="33">
        <f>C46*80%-12</f>
        <v>140000.13600000003</v>
      </c>
      <c r="L46" s="36">
        <f>C46*90%-14</f>
        <v>157499.65300000002</v>
      </c>
    </row>
    <row r="47" spans="1:12">
      <c r="A47" s="30" t="s">
        <v>7</v>
      </c>
      <c r="B47" s="30" t="s">
        <v>14</v>
      </c>
      <c r="C47" s="36">
        <f>B6*18%</f>
        <v>185310.18</v>
      </c>
      <c r="D47" s="37">
        <f>C47*1%+47</f>
        <v>1900.1017999999999</v>
      </c>
      <c r="E47" s="36">
        <f>C47*20%+38</f>
        <v>37100.036</v>
      </c>
      <c r="F47" s="36">
        <f>C47*30%+7</f>
        <v>55600.053999999996</v>
      </c>
      <c r="G47" s="36">
        <f>C47*40%-24</f>
        <v>74100.072</v>
      </c>
      <c r="H47" s="36">
        <f>C47*50%+45</f>
        <v>92700.09</v>
      </c>
      <c r="I47" s="36">
        <f>C47*60%+14</f>
        <v>111200.10799999999</v>
      </c>
      <c r="J47" s="36">
        <f>C47*70%-17</f>
        <v>129700.12599999999</v>
      </c>
      <c r="K47" s="33">
        <f>C47*80%-48</f>
        <v>148200.144</v>
      </c>
      <c r="L47" s="36">
        <f>C47*90%+21</f>
        <v>166800.16200000001</v>
      </c>
    </row>
    <row r="48" spans="1:12">
      <c r="A48" s="30" t="s">
        <v>9</v>
      </c>
      <c r="B48" s="30" t="s">
        <v>15</v>
      </c>
      <c r="C48" s="36">
        <f>B6*19%</f>
        <v>195605.19</v>
      </c>
      <c r="D48" s="37">
        <f>C48*1%+44</f>
        <v>2000.0519000000002</v>
      </c>
      <c r="E48" s="36">
        <f>C48*20%-21</f>
        <v>39100.038</v>
      </c>
      <c r="F48" s="36">
        <f>C48*30%+18</f>
        <v>58699.557000000001</v>
      </c>
      <c r="G48" s="36">
        <f>C48*40%-42</f>
        <v>78200.076000000001</v>
      </c>
      <c r="H48" s="36">
        <f>C48*50%-3</f>
        <v>97799.595000000001</v>
      </c>
      <c r="I48" s="36">
        <f>C48*60%+37</f>
        <v>117400.114</v>
      </c>
      <c r="J48" s="36">
        <f>C48*70%-24</f>
        <v>136899.633</v>
      </c>
      <c r="K48" s="33">
        <f>C48*80%+16</f>
        <v>156500.152</v>
      </c>
      <c r="L48" s="36">
        <f>C48*90%-45</f>
        <v>175999.671</v>
      </c>
    </row>
    <row r="49" spans="1:12">
      <c r="A49" s="30" t="s">
        <v>10</v>
      </c>
      <c r="B49" s="30" t="s">
        <v>1</v>
      </c>
      <c r="C49" s="36">
        <f>B6*20%</f>
        <v>205900.2</v>
      </c>
      <c r="D49" s="37">
        <f>C49*1%+41</f>
        <v>2100.002</v>
      </c>
      <c r="E49" s="36">
        <f>C49*20%+20</f>
        <v>41200.040000000008</v>
      </c>
      <c r="F49" s="36">
        <f>C49*30%+30</f>
        <v>61800.06</v>
      </c>
      <c r="G49" s="36">
        <f>C49*40%+40</f>
        <v>82400.080000000016</v>
      </c>
      <c r="H49" s="36">
        <f>C49*50%-50</f>
        <v>102900.1</v>
      </c>
      <c r="I49" s="36">
        <f>C49*60%-40</f>
        <v>123500.12</v>
      </c>
      <c r="J49" s="36">
        <f>C49*70%-30</f>
        <v>144100.13999999998</v>
      </c>
      <c r="K49" s="33">
        <f>C49*80%-20</f>
        <v>164700.16000000003</v>
      </c>
      <c r="L49" s="36">
        <f>C49*90%-10</f>
        <v>185300.18000000002</v>
      </c>
    </row>
    <row r="50" spans="1:12">
      <c r="A50" s="5"/>
      <c r="B50" s="5"/>
      <c r="C50" s="4"/>
      <c r="D50" s="2"/>
      <c r="E50" s="4"/>
      <c r="F50" s="4"/>
      <c r="G50" s="4"/>
      <c r="H50" s="4"/>
      <c r="I50" s="4"/>
      <c r="J50" s="4"/>
      <c r="K50" s="4"/>
      <c r="L50" s="4"/>
    </row>
    <row r="51" spans="1:12">
      <c r="A51" s="29" t="s">
        <v>16</v>
      </c>
      <c r="B51" s="40"/>
      <c r="C51" s="40"/>
      <c r="D51" s="27" t="s">
        <v>55</v>
      </c>
      <c r="E51" s="40"/>
      <c r="F51" s="40"/>
      <c r="G51" s="40"/>
      <c r="H51" s="40"/>
      <c r="I51" s="40"/>
      <c r="J51" s="40"/>
      <c r="K51" s="40"/>
      <c r="L51" s="40"/>
    </row>
    <row r="52" spans="1:12">
      <c r="A52" s="50"/>
      <c r="B52" s="40"/>
      <c r="C52" s="40"/>
      <c r="D52" s="51"/>
      <c r="E52" s="40"/>
      <c r="F52" s="40"/>
      <c r="G52" s="40"/>
      <c r="H52" s="40"/>
      <c r="I52" s="40"/>
      <c r="J52" s="40"/>
      <c r="K52" s="40"/>
      <c r="L52" s="40"/>
    </row>
    <row r="53" spans="1:12">
      <c r="A53" s="23" t="s">
        <v>56</v>
      </c>
      <c r="B53" s="24"/>
      <c r="C53" s="24"/>
      <c r="D53" s="27" t="s">
        <v>37</v>
      </c>
      <c r="E53" s="40"/>
      <c r="F53" s="40"/>
      <c r="G53" s="40"/>
      <c r="H53" s="40"/>
      <c r="I53" s="40"/>
      <c r="J53" s="40"/>
      <c r="K53" s="40"/>
      <c r="L53" s="40"/>
    </row>
    <row r="54" spans="1:12">
      <c r="A54" s="24"/>
      <c r="B54" s="24"/>
      <c r="C54" s="24"/>
      <c r="D54" s="25">
        <v>0</v>
      </c>
      <c r="E54" s="25">
        <v>38476</v>
      </c>
      <c r="F54" s="25">
        <v>39901</v>
      </c>
      <c r="G54" s="25">
        <v>42751</v>
      </c>
      <c r="H54" s="25">
        <v>45601</v>
      </c>
      <c r="I54" s="25">
        <v>48451</v>
      </c>
      <c r="J54" s="25">
        <v>51301</v>
      </c>
      <c r="K54" s="25">
        <v>54151</v>
      </c>
      <c r="L54" s="25">
        <v>57001</v>
      </c>
    </row>
    <row r="55" spans="1:12" ht="53.25" customHeight="1">
      <c r="A55" s="24"/>
      <c r="B55" s="24"/>
      <c r="C55" s="24"/>
      <c r="D55" s="25">
        <v>38475</v>
      </c>
      <c r="E55" s="25">
        <v>39900</v>
      </c>
      <c r="F55" s="25">
        <v>42750</v>
      </c>
      <c r="G55" s="25">
        <v>45600</v>
      </c>
      <c r="H55" s="25">
        <v>48450</v>
      </c>
      <c r="I55" s="25">
        <v>51300</v>
      </c>
      <c r="J55" s="25">
        <v>54150</v>
      </c>
      <c r="K55" s="26">
        <v>57000</v>
      </c>
      <c r="L55" s="25">
        <v>59850</v>
      </c>
    </row>
    <row r="56" spans="1:12" ht="30">
      <c r="A56" s="29" t="s">
        <v>17</v>
      </c>
      <c r="B56" s="40"/>
      <c r="C56" s="29" t="s">
        <v>0</v>
      </c>
      <c r="D56" s="31" t="s">
        <v>39</v>
      </c>
      <c r="E56" s="31" t="s">
        <v>40</v>
      </c>
      <c r="F56" s="31" t="s">
        <v>41</v>
      </c>
      <c r="G56" s="31" t="s">
        <v>42</v>
      </c>
      <c r="H56" s="31" t="s">
        <v>43</v>
      </c>
      <c r="I56" s="31" t="s">
        <v>44</v>
      </c>
      <c r="J56" s="31" t="s">
        <v>45</v>
      </c>
      <c r="K56" s="31" t="s">
        <v>46</v>
      </c>
      <c r="L56" s="31" t="s">
        <v>47</v>
      </c>
    </row>
    <row r="57" spans="1:12">
      <c r="A57" s="30" t="s">
        <v>31</v>
      </c>
      <c r="B57" s="28">
        <f>B6</f>
        <v>1029501</v>
      </c>
      <c r="C57" s="27"/>
      <c r="D57" s="32">
        <f>B57*1%+5</f>
        <v>10300.01</v>
      </c>
      <c r="E57" s="33">
        <f>B57*20%</f>
        <v>205900.2</v>
      </c>
      <c r="F57" s="33">
        <f>B57*30%-50</f>
        <v>308800.3</v>
      </c>
      <c r="G57" s="33">
        <f>B57*40%</f>
        <v>411800.4</v>
      </c>
      <c r="H57" s="33">
        <f>B57*50%+49</f>
        <v>514799.5</v>
      </c>
      <c r="I57" s="33">
        <f>B57*60%-1</f>
        <v>617699.6</v>
      </c>
      <c r="J57" s="33">
        <f>B57*70%+49</f>
        <v>720699.7</v>
      </c>
      <c r="K57" s="33">
        <f>B57*80%-1</f>
        <v>823599.8</v>
      </c>
      <c r="L57" s="33">
        <f>B57*90%+49</f>
        <v>926599.9</v>
      </c>
    </row>
    <row r="58" spans="1:12">
      <c r="A58" s="5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>
      <c r="A59" s="23" t="s">
        <v>57</v>
      </c>
      <c r="B59" s="24"/>
      <c r="C59" s="24"/>
      <c r="D59" s="27" t="s">
        <v>37</v>
      </c>
      <c r="E59" s="40"/>
      <c r="F59" s="40"/>
      <c r="G59" s="40"/>
      <c r="H59" s="40"/>
      <c r="I59" s="40"/>
      <c r="J59" s="40"/>
      <c r="K59" s="40"/>
      <c r="L59" s="40"/>
    </row>
    <row r="60" spans="1:12">
      <c r="A60" s="24"/>
      <c r="B60" s="24"/>
      <c r="C60" s="24"/>
      <c r="D60" s="25">
        <v>0</v>
      </c>
      <c r="E60" s="25">
        <v>38476</v>
      </c>
      <c r="F60" s="25">
        <v>39901</v>
      </c>
      <c r="G60" s="25">
        <v>42751</v>
      </c>
      <c r="H60" s="25">
        <v>45601</v>
      </c>
      <c r="I60" s="25">
        <v>48451</v>
      </c>
      <c r="J60" s="25">
        <v>51301</v>
      </c>
      <c r="K60" s="25">
        <v>54151</v>
      </c>
      <c r="L60" s="25">
        <v>57001</v>
      </c>
    </row>
    <row r="61" spans="1:12" ht="50.25" customHeight="1">
      <c r="A61" s="24"/>
      <c r="B61" s="24"/>
      <c r="C61" s="24"/>
      <c r="D61" s="25">
        <v>38475</v>
      </c>
      <c r="E61" s="25">
        <v>39900</v>
      </c>
      <c r="F61" s="25">
        <v>42750</v>
      </c>
      <c r="G61" s="25">
        <v>45600</v>
      </c>
      <c r="H61" s="25">
        <v>48450</v>
      </c>
      <c r="I61" s="25">
        <v>51300</v>
      </c>
      <c r="J61" s="25">
        <v>54150</v>
      </c>
      <c r="K61" s="26">
        <v>57000</v>
      </c>
      <c r="L61" s="25">
        <v>59850</v>
      </c>
    </row>
    <row r="62" spans="1:12">
      <c r="A62" s="52" t="s">
        <v>58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30">
      <c r="A63" s="29" t="s">
        <v>17</v>
      </c>
      <c r="B63" s="40"/>
      <c r="C63" s="29" t="s">
        <v>0</v>
      </c>
      <c r="D63" s="31" t="s">
        <v>39</v>
      </c>
      <c r="E63" s="31" t="s">
        <v>40</v>
      </c>
      <c r="F63" s="31" t="s">
        <v>41</v>
      </c>
      <c r="G63" s="31" t="s">
        <v>42</v>
      </c>
      <c r="H63" s="31" t="s">
        <v>43</v>
      </c>
      <c r="I63" s="31" t="s">
        <v>44</v>
      </c>
      <c r="J63" s="31" t="s">
        <v>45</v>
      </c>
      <c r="K63" s="31" t="s">
        <v>46</v>
      </c>
      <c r="L63" s="31" t="s">
        <v>47</v>
      </c>
    </row>
    <row r="64" spans="1:12">
      <c r="A64" s="30" t="s">
        <v>18</v>
      </c>
      <c r="B64" s="40">
        <v>0</v>
      </c>
      <c r="C64" s="27"/>
      <c r="D64" s="53">
        <f>B64*1%</f>
        <v>0</v>
      </c>
      <c r="E64" s="54">
        <f>B64*20%</f>
        <v>0</v>
      </c>
      <c r="F64" s="54">
        <f>B64*30%</f>
        <v>0</v>
      </c>
      <c r="G64" s="54">
        <f>B64*40%</f>
        <v>0</v>
      </c>
      <c r="H64" s="54">
        <f>B64*50%</f>
        <v>0</v>
      </c>
      <c r="I64" s="54">
        <f>B64*60%</f>
        <v>0</v>
      </c>
      <c r="J64" s="54">
        <f>B64*70%</f>
        <v>0</v>
      </c>
      <c r="K64" s="55">
        <f>B64*80%</f>
        <v>0</v>
      </c>
      <c r="L64" s="54">
        <f>B64*90%</f>
        <v>0</v>
      </c>
    </row>
    <row r="65" spans="1:12">
      <c r="A65" s="5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40" customFormat="1">
      <c r="A66" s="56" t="s">
        <v>59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s="40" customFormat="1" ht="30">
      <c r="A67" s="29" t="s">
        <v>17</v>
      </c>
      <c r="C67" s="29" t="s">
        <v>0</v>
      </c>
      <c r="D67" s="31" t="s">
        <v>39</v>
      </c>
      <c r="E67" s="31" t="s">
        <v>40</v>
      </c>
      <c r="F67" s="31" t="s">
        <v>41</v>
      </c>
      <c r="G67" s="31" t="s">
        <v>42</v>
      </c>
      <c r="H67" s="31" t="s">
        <v>43</v>
      </c>
      <c r="I67" s="31" t="s">
        <v>44</v>
      </c>
      <c r="J67" s="31" t="s">
        <v>45</v>
      </c>
      <c r="K67" s="31" t="s">
        <v>46</v>
      </c>
      <c r="L67" s="31" t="s">
        <v>47</v>
      </c>
    </row>
    <row r="68" spans="1:12" s="40" customFormat="1">
      <c r="A68" s="30" t="s">
        <v>19</v>
      </c>
      <c r="B68" s="40">
        <v>0</v>
      </c>
      <c r="C68" s="27"/>
      <c r="D68" s="53">
        <f>B68*1%</f>
        <v>0</v>
      </c>
      <c r="E68" s="54">
        <f>B68*20%</f>
        <v>0</v>
      </c>
      <c r="F68" s="54">
        <f>B68*30%</f>
        <v>0</v>
      </c>
      <c r="G68" s="54">
        <f>B68*40%</f>
        <v>0</v>
      </c>
      <c r="H68" s="54">
        <f>B68*50%</f>
        <v>0</v>
      </c>
      <c r="I68" s="54">
        <f>B68*60%</f>
        <v>0</v>
      </c>
      <c r="J68" s="54">
        <f>B68*70%</f>
        <v>0</v>
      </c>
      <c r="K68" s="55">
        <f>B68*80%</f>
        <v>0</v>
      </c>
      <c r="L68" s="54">
        <f>B68*90%</f>
        <v>0</v>
      </c>
    </row>
    <row r="69" spans="1:12">
      <c r="A69" s="5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>
      <c r="A70" s="23" t="s">
        <v>60</v>
      </c>
      <c r="B70" s="24"/>
      <c r="C70" s="24"/>
      <c r="D70" s="21" t="s">
        <v>37</v>
      </c>
      <c r="E70" s="22"/>
      <c r="F70" s="22"/>
      <c r="G70" s="22"/>
      <c r="H70" s="22"/>
      <c r="I70" s="22"/>
      <c r="J70" s="22"/>
      <c r="K70" s="22"/>
      <c r="L70" s="22"/>
    </row>
    <row r="71" spans="1:12">
      <c r="A71" s="24"/>
      <c r="B71" s="24"/>
      <c r="C71" s="24"/>
      <c r="D71" s="57" t="s">
        <v>0</v>
      </c>
      <c r="E71" s="57" t="s">
        <v>0</v>
      </c>
      <c r="F71" s="57" t="s">
        <v>0</v>
      </c>
      <c r="G71" s="57" t="s">
        <v>0</v>
      </c>
      <c r="H71" s="57" t="s">
        <v>0</v>
      </c>
      <c r="I71" s="57" t="s">
        <v>0</v>
      </c>
      <c r="J71" s="57" t="s">
        <v>0</v>
      </c>
      <c r="K71" s="57" t="s">
        <v>0</v>
      </c>
      <c r="L71" s="57" t="s">
        <v>0</v>
      </c>
    </row>
    <row r="72" spans="1:12" ht="33.75" customHeight="1">
      <c r="A72" s="24"/>
      <c r="B72" s="24"/>
      <c r="C72" s="24"/>
      <c r="D72" s="57" t="s">
        <v>0</v>
      </c>
      <c r="E72" s="57" t="s">
        <v>0</v>
      </c>
      <c r="F72" s="57" t="s">
        <v>0</v>
      </c>
      <c r="G72" s="57" t="s">
        <v>0</v>
      </c>
      <c r="H72" s="57" t="s">
        <v>0</v>
      </c>
      <c r="I72" s="57" t="s">
        <v>0</v>
      </c>
      <c r="J72" s="57" t="s">
        <v>0</v>
      </c>
      <c r="K72" s="57" t="s">
        <v>0</v>
      </c>
      <c r="L72" s="57" t="s">
        <v>0</v>
      </c>
    </row>
    <row r="73" spans="1:12" s="6" customFormat="1" ht="30">
      <c r="A73" s="34" t="s">
        <v>27</v>
      </c>
      <c r="B73" s="35" t="s">
        <v>17</v>
      </c>
      <c r="C73" s="35" t="s">
        <v>0</v>
      </c>
      <c r="D73" s="31" t="s">
        <v>39</v>
      </c>
      <c r="E73" s="31" t="s">
        <v>40</v>
      </c>
      <c r="F73" s="31" t="s">
        <v>41</v>
      </c>
      <c r="G73" s="31" t="s">
        <v>42</v>
      </c>
      <c r="H73" s="31" t="s">
        <v>43</v>
      </c>
      <c r="I73" s="31" t="s">
        <v>44</v>
      </c>
      <c r="J73" s="31" t="s">
        <v>45</v>
      </c>
      <c r="K73" s="31" t="s">
        <v>46</v>
      </c>
      <c r="L73" s="31" t="s">
        <v>47</v>
      </c>
    </row>
    <row r="74" spans="1:12">
      <c r="A74" s="30" t="s">
        <v>20</v>
      </c>
      <c r="B74" s="30" t="s">
        <v>25</v>
      </c>
      <c r="C74" s="36">
        <f>B68*5%</f>
        <v>0</v>
      </c>
      <c r="D74" s="49">
        <f>C74*1%</f>
        <v>0</v>
      </c>
      <c r="E74" s="38">
        <f>C74*20%</f>
        <v>0</v>
      </c>
      <c r="F74" s="38">
        <f>C74*30%</f>
        <v>0</v>
      </c>
      <c r="G74" s="38">
        <f>C74*40%</f>
        <v>0</v>
      </c>
      <c r="H74" s="38">
        <f>C74*50%</f>
        <v>0</v>
      </c>
      <c r="I74" s="38">
        <f>C74*60%</f>
        <v>0</v>
      </c>
      <c r="J74" s="38">
        <f>C74*70%</f>
        <v>0</v>
      </c>
      <c r="K74" s="39">
        <f>C74*80%</f>
        <v>0</v>
      </c>
      <c r="L74" s="38">
        <f>C74*90%</f>
        <v>0</v>
      </c>
    </row>
    <row r="75" spans="1:12">
      <c r="A75" s="30" t="s">
        <v>22</v>
      </c>
      <c r="B75" s="30" t="s">
        <v>21</v>
      </c>
      <c r="C75" s="36">
        <f>B68*8%</f>
        <v>0</v>
      </c>
      <c r="D75" s="49">
        <f>C75*1%</f>
        <v>0</v>
      </c>
      <c r="E75" s="38">
        <f>C75*20%</f>
        <v>0</v>
      </c>
      <c r="F75" s="38">
        <f>C75*30%</f>
        <v>0</v>
      </c>
      <c r="G75" s="38">
        <f>C75*40%</f>
        <v>0</v>
      </c>
      <c r="H75" s="38">
        <f>C75*50%</f>
        <v>0</v>
      </c>
      <c r="I75" s="38">
        <f>C75*60%</f>
        <v>0</v>
      </c>
      <c r="J75" s="38">
        <f>C75*70%</f>
        <v>0</v>
      </c>
      <c r="K75" s="39">
        <f>C75*80%</f>
        <v>0</v>
      </c>
      <c r="L75" s="38">
        <f>C75*90%</f>
        <v>0</v>
      </c>
    </row>
    <row r="76" spans="1:12">
      <c r="A76" s="30" t="s">
        <v>23</v>
      </c>
      <c r="B76" s="30" t="s">
        <v>26</v>
      </c>
      <c r="C76" s="36">
        <f>B68*12%</f>
        <v>0</v>
      </c>
      <c r="D76" s="49">
        <f>C76*1%</f>
        <v>0</v>
      </c>
      <c r="E76" s="38">
        <f>C76*20%</f>
        <v>0</v>
      </c>
      <c r="F76" s="38">
        <f>C76*30%</f>
        <v>0</v>
      </c>
      <c r="G76" s="38">
        <f>C76*40%</f>
        <v>0</v>
      </c>
      <c r="H76" s="38">
        <f>C76*50%</f>
        <v>0</v>
      </c>
      <c r="I76" s="38">
        <f>C76*60%</f>
        <v>0</v>
      </c>
      <c r="J76" s="38">
        <f>C76*70%</f>
        <v>0</v>
      </c>
      <c r="K76" s="39">
        <f>C76*80%</f>
        <v>0</v>
      </c>
      <c r="L76" s="38">
        <f>C76*90%</f>
        <v>0</v>
      </c>
    </row>
    <row r="77" spans="1:12">
      <c r="A77" s="30" t="s">
        <v>24</v>
      </c>
      <c r="B77" s="30" t="s">
        <v>13</v>
      </c>
      <c r="C77" s="36">
        <f>B68*17%</f>
        <v>0</v>
      </c>
      <c r="D77" s="49">
        <f>C77*1%</f>
        <v>0</v>
      </c>
      <c r="E77" s="38">
        <f>C77*20%</f>
        <v>0</v>
      </c>
      <c r="F77" s="38">
        <f>C77*30%</f>
        <v>0</v>
      </c>
      <c r="G77" s="38">
        <f>C77*40%</f>
        <v>0</v>
      </c>
      <c r="H77" s="38">
        <f>C77*50%</f>
        <v>0</v>
      </c>
      <c r="I77" s="38">
        <f>C77*60%</f>
        <v>0</v>
      </c>
      <c r="J77" s="38">
        <f>C77*70%</f>
        <v>0</v>
      </c>
      <c r="K77" s="39">
        <f>C77*80%</f>
        <v>0</v>
      </c>
      <c r="L77" s="38">
        <f>C77*90%</f>
        <v>0</v>
      </c>
    </row>
    <row r="78" spans="1:12">
      <c r="A78" s="30" t="s">
        <v>10</v>
      </c>
      <c r="B78" s="30" t="s">
        <v>1</v>
      </c>
      <c r="C78" s="36">
        <f>B68*20%</f>
        <v>0</v>
      </c>
      <c r="D78" s="49">
        <f>C78*1%</f>
        <v>0</v>
      </c>
      <c r="E78" s="38">
        <f>C78*20%</f>
        <v>0</v>
      </c>
      <c r="F78" s="38">
        <f>C78*30%</f>
        <v>0</v>
      </c>
      <c r="G78" s="38">
        <f>C78*40%</f>
        <v>0</v>
      </c>
      <c r="H78" s="38">
        <f>C78*50%</f>
        <v>0</v>
      </c>
      <c r="I78" s="38">
        <f>C78*60%</f>
        <v>0</v>
      </c>
      <c r="J78" s="38">
        <f>C78*70%</f>
        <v>0</v>
      </c>
      <c r="K78" s="39">
        <f>C78*80%</f>
        <v>0</v>
      </c>
      <c r="L78" s="38">
        <f>C78*90%</f>
        <v>0</v>
      </c>
    </row>
    <row r="79" spans="1:12">
      <c r="A79" s="5"/>
      <c r="B79" s="5"/>
      <c r="C79" s="4"/>
      <c r="D79" s="2"/>
      <c r="E79" s="4"/>
      <c r="F79" s="4"/>
      <c r="G79" s="4"/>
      <c r="H79" s="4"/>
      <c r="I79" s="4"/>
      <c r="J79" s="4"/>
      <c r="K79" s="4"/>
      <c r="L79" s="4"/>
    </row>
    <row r="80" spans="1:12" ht="14.45" customHeight="1">
      <c r="A80" s="23" t="s">
        <v>61</v>
      </c>
      <c r="B80" s="23"/>
      <c r="C80" s="23"/>
      <c r="D80" s="21" t="s">
        <v>37</v>
      </c>
      <c r="E80" s="21"/>
      <c r="F80" s="21"/>
      <c r="G80" s="21"/>
      <c r="H80" s="21"/>
      <c r="I80" s="21"/>
      <c r="J80" s="21"/>
      <c r="K80" s="58"/>
      <c r="L80" s="21"/>
    </row>
    <row r="81" spans="1:12">
      <c r="A81" s="23"/>
      <c r="B81" s="23"/>
      <c r="C81" s="23"/>
      <c r="D81" s="25">
        <v>0</v>
      </c>
      <c r="E81" s="25">
        <v>38476</v>
      </c>
      <c r="F81" s="25">
        <v>39901</v>
      </c>
      <c r="G81" s="25">
        <v>42751</v>
      </c>
      <c r="H81" s="25">
        <v>45601</v>
      </c>
      <c r="I81" s="25">
        <v>48451</v>
      </c>
      <c r="J81" s="25">
        <v>51301</v>
      </c>
      <c r="K81" s="25">
        <v>54151</v>
      </c>
      <c r="L81" s="25">
        <v>57001</v>
      </c>
    </row>
    <row r="82" spans="1:12" ht="49.5" customHeight="1">
      <c r="A82" s="23"/>
      <c r="B82" s="23"/>
      <c r="C82" s="23"/>
      <c r="D82" s="25">
        <v>38475</v>
      </c>
      <c r="E82" s="25">
        <v>39900</v>
      </c>
      <c r="F82" s="25">
        <v>42750</v>
      </c>
      <c r="G82" s="25">
        <v>45600</v>
      </c>
      <c r="H82" s="25">
        <v>48450</v>
      </c>
      <c r="I82" s="25">
        <v>51300</v>
      </c>
      <c r="J82" s="25">
        <v>54150</v>
      </c>
      <c r="K82" s="26">
        <v>57000</v>
      </c>
      <c r="L82" s="25">
        <v>59850</v>
      </c>
    </row>
    <row r="83" spans="1:12" s="6" customFormat="1" ht="30">
      <c r="A83" s="34" t="s">
        <v>17</v>
      </c>
      <c r="B83" s="35"/>
      <c r="C83" s="35" t="s">
        <v>0</v>
      </c>
      <c r="D83" s="31" t="s">
        <v>39</v>
      </c>
      <c r="E83" s="31" t="s">
        <v>40</v>
      </c>
      <c r="F83" s="31" t="s">
        <v>41</v>
      </c>
      <c r="G83" s="31" t="s">
        <v>42</v>
      </c>
      <c r="H83" s="31" t="s">
        <v>43</v>
      </c>
      <c r="I83" s="31" t="s">
        <v>44</v>
      </c>
      <c r="J83" s="31" t="s">
        <v>45</v>
      </c>
      <c r="K83" s="31" t="s">
        <v>46</v>
      </c>
      <c r="L83" s="31" t="s">
        <v>47</v>
      </c>
    </row>
    <row r="84" spans="1:12">
      <c r="A84" s="30" t="s">
        <v>1</v>
      </c>
      <c r="B84" s="30"/>
      <c r="C84" s="36">
        <f>B6*20%</f>
        <v>205900.2</v>
      </c>
      <c r="D84" s="37">
        <f>C84*1%+41</f>
        <v>2100.002</v>
      </c>
      <c r="E84" s="36">
        <f>C84*20%+20</f>
        <v>41200.040000000008</v>
      </c>
      <c r="F84" s="36">
        <f>C84*30%+30</f>
        <v>61800.06</v>
      </c>
      <c r="G84" s="36">
        <f>C84*40%+40</f>
        <v>82400.080000000016</v>
      </c>
      <c r="H84" s="36">
        <f>C84*50%-50</f>
        <v>102900.1</v>
      </c>
      <c r="I84" s="36">
        <f>C84*60%-40</f>
        <v>123500.12</v>
      </c>
      <c r="J84" s="36">
        <f>C84*70%-30</f>
        <v>144100.13999999998</v>
      </c>
      <c r="K84" s="33">
        <f>C84*80%-20</f>
        <v>164700.16000000003</v>
      </c>
      <c r="L84" s="36">
        <f>C84*90%-10</f>
        <v>185300.18000000002</v>
      </c>
    </row>
    <row r="85" spans="1:12">
      <c r="A85" s="5"/>
      <c r="B85" s="5"/>
      <c r="C85" s="4"/>
      <c r="D85" s="2"/>
      <c r="E85" s="4"/>
      <c r="F85" s="4"/>
      <c r="G85" s="4"/>
      <c r="H85" s="4"/>
      <c r="I85" s="4"/>
      <c r="J85" s="4"/>
      <c r="K85" s="4"/>
      <c r="L85" s="4"/>
    </row>
    <row r="86" spans="1:12" ht="14.45" customHeight="1">
      <c r="A86" s="23" t="s">
        <v>62</v>
      </c>
      <c r="B86" s="23"/>
      <c r="C86" s="23"/>
      <c r="D86" s="21" t="s">
        <v>37</v>
      </c>
      <c r="E86" s="21"/>
      <c r="F86" s="21"/>
      <c r="G86" s="21"/>
      <c r="H86" s="21"/>
      <c r="I86" s="21"/>
      <c r="J86" s="21"/>
      <c r="K86" s="58"/>
      <c r="L86" s="21"/>
    </row>
    <row r="87" spans="1:12">
      <c r="A87" s="23"/>
      <c r="B87" s="23"/>
      <c r="C87" s="23"/>
      <c r="D87" s="25">
        <v>0</v>
      </c>
      <c r="E87" s="25">
        <v>38476</v>
      </c>
      <c r="F87" s="25">
        <v>39901</v>
      </c>
      <c r="G87" s="25">
        <v>42751</v>
      </c>
      <c r="H87" s="25">
        <v>45601</v>
      </c>
      <c r="I87" s="25">
        <v>48451</v>
      </c>
      <c r="J87" s="25">
        <v>51301</v>
      </c>
      <c r="K87" s="25">
        <v>54151</v>
      </c>
      <c r="L87" s="25">
        <v>57001</v>
      </c>
    </row>
    <row r="88" spans="1:12" ht="60" customHeight="1">
      <c r="A88" s="23"/>
      <c r="B88" s="23"/>
      <c r="C88" s="23"/>
      <c r="D88" s="25">
        <v>38475</v>
      </c>
      <c r="E88" s="25">
        <v>39900</v>
      </c>
      <c r="F88" s="25">
        <v>42750</v>
      </c>
      <c r="G88" s="25">
        <v>45600</v>
      </c>
      <c r="H88" s="25">
        <v>48450</v>
      </c>
      <c r="I88" s="25">
        <v>51300</v>
      </c>
      <c r="J88" s="25">
        <v>54150</v>
      </c>
      <c r="K88" s="26">
        <v>57000</v>
      </c>
      <c r="L88" s="25">
        <v>59850</v>
      </c>
    </row>
    <row r="89" spans="1:12" s="6" customFormat="1" ht="30">
      <c r="A89" s="34" t="s">
        <v>17</v>
      </c>
      <c r="B89" s="35"/>
      <c r="C89" s="35" t="s">
        <v>0</v>
      </c>
      <c r="D89" s="31" t="s">
        <v>39</v>
      </c>
      <c r="E89" s="31" t="s">
        <v>40</v>
      </c>
      <c r="F89" s="31" t="s">
        <v>41</v>
      </c>
      <c r="G89" s="31" t="s">
        <v>42</v>
      </c>
      <c r="H89" s="31" t="s">
        <v>43</v>
      </c>
      <c r="I89" s="31" t="s">
        <v>44</v>
      </c>
      <c r="J89" s="31" t="s">
        <v>45</v>
      </c>
      <c r="K89" s="31" t="s">
        <v>46</v>
      </c>
      <c r="L89" s="31" t="s">
        <v>47</v>
      </c>
    </row>
    <row r="90" spans="1:12">
      <c r="A90" s="30" t="s">
        <v>32</v>
      </c>
      <c r="B90" s="30"/>
      <c r="C90" s="36">
        <f>B6*20%</f>
        <v>205900.2</v>
      </c>
      <c r="D90" s="37">
        <f>C90*1%+41</f>
        <v>2100.002</v>
      </c>
      <c r="E90" s="38">
        <f>C90*20%+20</f>
        <v>41200.040000000008</v>
      </c>
      <c r="F90" s="38">
        <f>C90*30%+30</f>
        <v>61800.06</v>
      </c>
      <c r="G90" s="38">
        <f>C90*40%+40</f>
        <v>82400.080000000016</v>
      </c>
      <c r="H90" s="38">
        <f>C90*50%-50</f>
        <v>102900.1</v>
      </c>
      <c r="I90" s="38">
        <f>C90*60%-40</f>
        <v>123500.12</v>
      </c>
      <c r="J90" s="38">
        <f>C90*70%-30</f>
        <v>144100.13999999998</v>
      </c>
      <c r="K90" s="39">
        <f>C90*80%-20</f>
        <v>164700.16000000003</v>
      </c>
      <c r="L90" s="38">
        <f>C90*90%-10</f>
        <v>185300.18000000002</v>
      </c>
    </row>
    <row r="91" spans="1:12">
      <c r="A91" s="5"/>
      <c r="B91" s="5"/>
      <c r="C91" s="4"/>
      <c r="D91" s="2"/>
      <c r="E91" s="4"/>
      <c r="F91" s="4"/>
      <c r="G91" s="4"/>
      <c r="H91" s="4"/>
      <c r="I91" s="4"/>
      <c r="J91" s="4"/>
      <c r="K91" s="4"/>
      <c r="L91" s="4"/>
    </row>
    <row r="92" spans="1:12" ht="14.45" customHeight="1">
      <c r="A92" s="23" t="s">
        <v>63</v>
      </c>
      <c r="B92" s="23"/>
      <c r="C92" s="23"/>
      <c r="D92" s="21" t="s">
        <v>37</v>
      </c>
      <c r="E92" s="21"/>
      <c r="F92" s="21"/>
      <c r="G92" s="21"/>
      <c r="H92" s="21"/>
      <c r="I92" s="21"/>
      <c r="J92" s="21"/>
      <c r="K92" s="58"/>
      <c r="L92" s="21"/>
    </row>
    <row r="93" spans="1:12">
      <c r="A93" s="23"/>
      <c r="B93" s="23"/>
      <c r="C93" s="23"/>
      <c r="D93" s="25">
        <v>0</v>
      </c>
      <c r="E93" s="25">
        <v>38476</v>
      </c>
      <c r="F93" s="25">
        <v>39901</v>
      </c>
      <c r="G93" s="25">
        <v>42751</v>
      </c>
      <c r="H93" s="25">
        <v>45601</v>
      </c>
      <c r="I93" s="25">
        <v>48451</v>
      </c>
      <c r="J93" s="25">
        <v>51301</v>
      </c>
      <c r="K93" s="25">
        <v>54151</v>
      </c>
      <c r="L93" s="25">
        <v>57001</v>
      </c>
    </row>
    <row r="94" spans="1:12" ht="39" customHeight="1">
      <c r="A94" s="23"/>
      <c r="B94" s="23"/>
      <c r="C94" s="23"/>
      <c r="D94" s="25">
        <v>38475</v>
      </c>
      <c r="E94" s="25">
        <v>39900</v>
      </c>
      <c r="F94" s="25">
        <v>42750</v>
      </c>
      <c r="G94" s="25">
        <v>45600</v>
      </c>
      <c r="H94" s="25">
        <v>48450</v>
      </c>
      <c r="I94" s="25">
        <v>51300</v>
      </c>
      <c r="J94" s="25">
        <v>54150</v>
      </c>
      <c r="K94" s="26">
        <v>57000</v>
      </c>
      <c r="L94" s="25">
        <v>59850</v>
      </c>
    </row>
    <row r="95" spans="1:12" s="6" customFormat="1" ht="30">
      <c r="A95" s="34" t="s">
        <v>17</v>
      </c>
      <c r="B95" s="35"/>
      <c r="C95" s="35" t="s">
        <v>0</v>
      </c>
      <c r="D95" s="31" t="s">
        <v>39</v>
      </c>
      <c r="E95" s="31" t="s">
        <v>40</v>
      </c>
      <c r="F95" s="31" t="s">
        <v>41</v>
      </c>
      <c r="G95" s="31" t="s">
        <v>42</v>
      </c>
      <c r="H95" s="31" t="s">
        <v>43</v>
      </c>
      <c r="I95" s="31" t="s">
        <v>44</v>
      </c>
      <c r="J95" s="31" t="s">
        <v>45</v>
      </c>
      <c r="K95" s="31" t="s">
        <v>46</v>
      </c>
      <c r="L95" s="31" t="s">
        <v>47</v>
      </c>
    </row>
    <row r="96" spans="1:12">
      <c r="A96" s="30" t="s">
        <v>32</v>
      </c>
      <c r="B96" s="30"/>
      <c r="C96" s="36">
        <f>B6*20%</f>
        <v>205900.2</v>
      </c>
      <c r="D96" s="37">
        <f>C96*1%+41</f>
        <v>2100.002</v>
      </c>
      <c r="E96" s="36">
        <f>C96*20%+20</f>
        <v>41200.040000000008</v>
      </c>
      <c r="F96" s="36">
        <f>C96*30%+30</f>
        <v>61800.06</v>
      </c>
      <c r="G96" s="36">
        <f>C96*40%+40</f>
        <v>82400.080000000016</v>
      </c>
      <c r="H96" s="36">
        <f>C96*50%-50</f>
        <v>102900.1</v>
      </c>
      <c r="I96" s="36">
        <f>C96*60%-40</f>
        <v>123500.12</v>
      </c>
      <c r="J96" s="36">
        <f>C96*70%-30</f>
        <v>144100.13999999998</v>
      </c>
      <c r="K96" s="33">
        <f>C96*80%-20</f>
        <v>164700.16000000003</v>
      </c>
      <c r="L96" s="36">
        <f>C96*90%-10</f>
        <v>185300.18000000002</v>
      </c>
    </row>
    <row r="97" spans="1:12">
      <c r="A97" s="5"/>
      <c r="B97" s="5"/>
      <c r="C97" s="4"/>
      <c r="D97" s="2"/>
      <c r="E97" s="4"/>
      <c r="F97" s="4"/>
      <c r="G97" s="4"/>
      <c r="H97" s="4"/>
      <c r="I97" s="4"/>
      <c r="J97" s="4"/>
      <c r="K97" s="4"/>
      <c r="L97" s="4"/>
    </row>
    <row r="98" spans="1:12">
      <c r="A98" s="5"/>
      <c r="B98" s="5"/>
      <c r="C98" s="4"/>
      <c r="D98" s="2"/>
      <c r="E98" s="4"/>
      <c r="F98" s="4"/>
      <c r="G98" s="4"/>
      <c r="H98" s="4"/>
      <c r="I98" s="4"/>
      <c r="J98" s="4"/>
      <c r="K98" s="4"/>
      <c r="L98" s="4"/>
    </row>
    <row r="99" spans="1:12">
      <c r="A99" s="16"/>
      <c r="B99" s="15"/>
      <c r="C99" s="15"/>
      <c r="D99" s="17"/>
      <c r="E99" s="18"/>
      <c r="F99" s="18"/>
      <c r="G99" s="18"/>
      <c r="H99" s="18"/>
      <c r="I99" s="18"/>
      <c r="J99" s="18"/>
      <c r="K99" s="18"/>
      <c r="L99" s="18"/>
    </row>
    <row r="100" spans="1:12">
      <c r="A100" s="15"/>
      <c r="B100" s="15"/>
      <c r="C100" s="15"/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1:12" ht="42" customHeight="1">
      <c r="A101" s="15"/>
      <c r="B101" s="15"/>
      <c r="C101" s="15"/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1:12" s="6" customFormat="1">
      <c r="A102" s="7"/>
      <c r="B102" s="9"/>
      <c r="C102" s="9"/>
      <c r="D102" s="7"/>
      <c r="E102" s="7"/>
      <c r="F102" s="7"/>
      <c r="G102" s="7"/>
      <c r="H102" s="7"/>
      <c r="I102" s="7"/>
      <c r="J102" s="7"/>
      <c r="K102" s="7"/>
      <c r="L102" s="7"/>
    </row>
    <row r="103" spans="1:12">
      <c r="A103" s="8"/>
      <c r="B103" s="8"/>
      <c r="C103" s="13"/>
      <c r="D103" s="12"/>
      <c r="E103" s="10"/>
      <c r="F103" s="10"/>
      <c r="G103" s="10"/>
      <c r="H103" s="10"/>
      <c r="I103" s="10"/>
      <c r="J103" s="10"/>
      <c r="K103" s="11"/>
      <c r="L103" s="10"/>
    </row>
    <row r="104" spans="1:12">
      <c r="A104" s="8"/>
      <c r="B104" s="8"/>
      <c r="C104" s="13"/>
      <c r="D104" s="12"/>
      <c r="E104" s="10"/>
      <c r="F104" s="10"/>
      <c r="G104" s="10"/>
      <c r="H104" s="10"/>
      <c r="I104" s="10"/>
      <c r="J104" s="10"/>
      <c r="K104" s="11"/>
      <c r="L104" s="10"/>
    </row>
    <row r="105" spans="1:12">
      <c r="A105" s="8"/>
      <c r="B105" s="8"/>
      <c r="C105" s="13"/>
      <c r="D105" s="12"/>
      <c r="E105" s="10"/>
      <c r="F105" s="10"/>
      <c r="G105" s="10"/>
      <c r="H105" s="10"/>
      <c r="I105" s="10"/>
      <c r="J105" s="10"/>
      <c r="K105" s="11"/>
      <c r="L105" s="10"/>
    </row>
    <row r="106" spans="1:12">
      <c r="A106" s="8"/>
      <c r="B106" s="8"/>
      <c r="C106" s="13"/>
      <c r="D106" s="12"/>
      <c r="E106" s="10"/>
      <c r="F106" s="10"/>
      <c r="G106" s="10"/>
      <c r="H106" s="10"/>
      <c r="I106" s="10"/>
      <c r="J106" s="10"/>
      <c r="K106" s="11"/>
      <c r="L106" s="10"/>
    </row>
    <row r="107" spans="1:12">
      <c r="A107" s="8"/>
      <c r="B107" s="8"/>
      <c r="C107" s="13"/>
      <c r="D107" s="12"/>
      <c r="E107" s="10"/>
      <c r="F107" s="10"/>
      <c r="G107" s="10"/>
      <c r="H107" s="10"/>
      <c r="I107" s="10"/>
      <c r="J107" s="10"/>
      <c r="K107" s="11"/>
      <c r="L107" s="10"/>
    </row>
  </sheetData>
  <mergeCells count="26">
    <mergeCell ref="A66:L66"/>
    <mergeCell ref="A70:C72"/>
    <mergeCell ref="D70:L70"/>
    <mergeCell ref="A99:C101"/>
    <mergeCell ref="D99:L99"/>
    <mergeCell ref="A80:C82"/>
    <mergeCell ref="D80:L80"/>
    <mergeCell ref="A86:C88"/>
    <mergeCell ref="D86:L86"/>
    <mergeCell ref="A92:C94"/>
    <mergeCell ref="D92:L92"/>
    <mergeCell ref="A62:L62"/>
    <mergeCell ref="A33:C35"/>
    <mergeCell ref="A53:C55"/>
    <mergeCell ref="A1:L1"/>
    <mergeCell ref="A2:C2"/>
    <mergeCell ref="D2:L2"/>
    <mergeCell ref="A3:C5"/>
    <mergeCell ref="D3:L3"/>
    <mergeCell ref="A10:C12"/>
    <mergeCell ref="D10:L10"/>
    <mergeCell ref="A21:C23"/>
    <mergeCell ref="D21:L21"/>
    <mergeCell ref="A27:C29"/>
    <mergeCell ref="A40:C42"/>
    <mergeCell ref="A59:C61"/>
  </mergeCells>
  <phoneticPr fontId="1" type="noConversion"/>
  <pageMargins left="0.7" right="0.7" top="0.75" bottom="0.75" header="0.3" footer="0.3"/>
  <pageSetup paperSize="8" orientation="landscape" r:id="rId1"/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Page 1</vt:lpstr>
    </vt:vector>
  </TitlesOfParts>
  <Company>Wondershare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Bánné Annamária</cp:lastModifiedBy>
  <cp:lastPrinted>2017-09-26T06:50:39Z</cp:lastPrinted>
  <dcterms:created xsi:type="dcterms:W3CDTF">2011-06-22T11:27:57Z</dcterms:created>
  <dcterms:modified xsi:type="dcterms:W3CDTF">2022-08-23T14:00:49Z</dcterms:modified>
</cp:coreProperties>
</file>